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mpWFOzHeub8QFfiCilPc9Uu8Y9g3J72FKG2NC6TMpGuO7OCO3+HHM0C3iH1aLawsj3Cx+AomfKKYZwGLniYAcg==" workbookSaltValue="6LfYBvbtdjS0rzXbaQoq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G26" i="14"/>
  <c r="S32" i="20"/>
  <c r="AQ32" i="21"/>
  <c r="AJ32" i="20"/>
  <c r="G30" i="14"/>
  <c r="G23" i="14"/>
  <c r="U18" i="11"/>
  <c r="AX32" i="20"/>
  <c r="Y32" i="20"/>
  <c r="L32" i="20"/>
  <c r="AG32" i="20"/>
  <c r="H32" i="20"/>
  <c r="F32" i="20"/>
  <c r="K32" i="20"/>
  <c r="O17" i="11"/>
  <c r="F14" i="7" l="1"/>
  <c r="BD9" i="8"/>
  <c r="T9" i="11"/>
  <c r="BK13" i="11"/>
  <c r="BK9" i="11"/>
  <c r="BK16" i="11"/>
  <c r="BJ12" i="11"/>
  <c r="V22" i="11"/>
  <c r="BM20" i="11"/>
  <c r="BW9" i="20"/>
  <c r="BU17" i="17"/>
  <c r="BK17" i="11"/>
  <c r="L28" i="2"/>
  <c r="BH11" i="16"/>
  <c r="BH19" i="16"/>
  <c r="BH19" i="11"/>
  <c r="V21" i="11"/>
  <c r="BJ29" i="11"/>
  <c r="AZ13" i="11"/>
  <c r="V29" i="11"/>
  <c r="AZ21" i="11"/>
  <c r="BJ28" i="11"/>
  <c r="BU11" i="17"/>
  <c r="BU21" i="17"/>
  <c r="BW17" i="20"/>
  <c r="X21" i="16"/>
  <c r="BU19" i="17"/>
  <c r="BV22" i="16"/>
  <c r="S22" i="17"/>
  <c r="S16" i="16"/>
  <c r="BL16" i="11"/>
  <c r="AZ25" i="11"/>
  <c r="AZ30" i="11" s="1"/>
  <c r="BM18" i="11"/>
  <c r="AQ12" i="21"/>
  <c r="BI21" i="11"/>
  <c r="BM29" i="11"/>
  <c r="BH9" i="11"/>
  <c r="BH28" i="16"/>
  <c r="BU28" i="17"/>
  <c r="BV17" i="16"/>
  <c r="BV25" i="16"/>
  <c r="BU9" i="17"/>
  <c r="BW10" i="20"/>
  <c r="BF20" i="11"/>
  <c r="BL20" i="11"/>
  <c r="BH21" i="11"/>
  <c r="BH17" i="11"/>
  <c r="BH25" i="11"/>
  <c r="L17" i="2"/>
  <c r="AA11" i="16"/>
  <c r="R13" i="17"/>
  <c r="P13" i="14"/>
  <c r="BG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BH16" i="11"/>
  <c r="S20" i="14"/>
  <c r="V20" i="14" s="1"/>
  <c r="S13" i="17"/>
  <c r="S12" i="14"/>
  <c r="V12" i="14" s="1"/>
  <c r="S19" i="14"/>
  <c r="V19" i="14" s="1"/>
  <c r="S17" i="14"/>
  <c r="V17" i="14" s="1"/>
  <c r="S29" i="14"/>
  <c r="V29" i="14" s="1"/>
  <c r="R10" i="14"/>
  <c r="R12" i="14"/>
  <c r="R17" i="14"/>
  <c r="R19" i="14"/>
  <c r="R29"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9" i="12" l="1"/>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<sst xmlns="http://schemas.openxmlformats.org/spreadsheetml/2006/main" count="2668" uniqueCount="1193">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</sst>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99AaxerPKQgKISBNotwKX3tzXzVJO7/9vpJeY4TG4ohkdnnUMjbEAwoPD3v6YY/QUO4mpI3Bsanq39SwlLzoA==" saltValue="87Y+BdxD3H+nKIs0xQ0V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34.107085346215783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123</v>
      </c>
      <c r="D10" s="239">
        <f>IF(ISNUMBER(Datos!I10),Datos!I10," - ")</f>
        <v>123</v>
      </c>
      <c r="E10" s="240">
        <f>IF(ISNUMBER(Datos!J10),Datos!J10," - ")</f>
        <v>34</v>
      </c>
      <c r="F10" s="240">
        <f>IF(ISNUMBER(Datos!K10),Datos!K10," - ")</f>
        <v>14</v>
      </c>
      <c r="G10" s="1390" t="str">
        <f>IF(Datos!E10&lt;&gt;"",Datos!E10,Datos!D10)</f>
        <v>37</v>
      </c>
      <c r="H10" s="241">
        <f>IF(ISNUMBER(Datos!L10),Datos!L10," - ")</f>
        <v>143</v>
      </c>
      <c r="I10" s="1400" t="str">
        <f>IF(ISNUMBER(Datos!AS10/Datos!BM10),Datos!AS10/Datos!BM10," - ")</f>
        <v xml:space="preserve"> - </v>
      </c>
      <c r="J10" s="1401">
        <f>IF(ISNUMBER(Datos!BY10/Datos!CN10),Datos!BY10/Datos!CN10," - ")</f>
        <v>0</v>
      </c>
      <c r="K10" s="244">
        <f t="shared" ref="K10:K13" si="1">IF(ISNUMBER((E10-F10)/C10),(E10-F10)/C10," - ")</f>
        <v>0.16260162601626016</v>
      </c>
      <c r="L10" s="1402">
        <f>IF(ISNUMBER(NºAsuntos!I10/NºAsuntos!G10),(NºAsuntos!I10/NºAsuntos!G10)*11," - ")</f>
        <v>112.35714285714285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123</v>
      </c>
      <c r="D14" s="1407">
        <f>SUBTOTAL(9,D9:D13)</f>
        <v>123</v>
      </c>
      <c r="E14" s="1408">
        <f>SUBTOTAL(9,E9:E13)</f>
        <v>34</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1380</v>
      </c>
      <c r="D16" s="239">
        <f>IF(ISNUMBER(IF(D_I="SI",Datos!I16,Datos!I16+Datos!AC16)),IF(D_I="SI",Datos!I16,Datos!I16+Datos!AC16)," - ")</f>
        <v>1366</v>
      </c>
      <c r="E16" s="240">
        <f>IF(ISNUMBER(IF(D_I="SI",Datos!J16,Datos!J16+Datos!AD16)),IF(D_I="SI",Datos!J16,Datos!J16+Datos!AD16)," - ")</f>
        <v>1732</v>
      </c>
      <c r="F16" s="240">
        <f>IF(ISNUMBER(IF(D_I="SI",Datos!K16,Datos!K16+Datos!AE16)),IF(D_I="SI",Datos!K16,Datos!K16+Datos!AE16)," - ")</f>
        <v>1813</v>
      </c>
      <c r="G16" s="1390" t="str">
        <f>IF(Datos!E16&lt;&gt;"",Datos!E16,Datos!D16)</f>
        <v>03</v>
      </c>
      <c r="H16" s="241">
        <f>IF(ISNUMBER(IF(D_I="SI",Datos!L16,Datos!L16+Datos!AF16)),IF(D_I="SI",Datos!L16,Datos!L16+Datos!AF16)," - ")</f>
        <v>1299</v>
      </c>
      <c r="I16" s="1400" t="str">
        <f>IF(ISNUMBER(Datos!AS16/Datos!BM16),Datos!AS16/Datos!BM16," - ")</f>
        <v xml:space="preserve"> - </v>
      </c>
      <c r="J16" s="1401">
        <f>IF(ISNUMBER(Datos!BY16/Datos!CN16),Datos!BY16/Datos!CN16," - ")</f>
        <v>0</v>
      </c>
      <c r="K16" s="244">
        <f t="shared" ref="K16:K22" si="3">IF(ISNUMBER((E16-F16)/C16),(E16-F16)/C16," - ")</f>
        <v>-5.8695652173913045E-2</v>
      </c>
      <c r="L16" s="1402">
        <f>IF(ISNUMBER(NºAsuntos!I16/NºAsuntos!G16),(NºAsuntos!I16/NºAsuntos!G16)*11," - ")</f>
        <v>7.8814120242691672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263</v>
      </c>
      <c r="D18" s="239">
        <f>IF(ISNUMBER(IF(D_I="SI",Datos!I18,Datos!I18+Datos!AC18)),IF(D_I="SI",Datos!I18,Datos!I18+Datos!AC18)," - ")</f>
        <v>258</v>
      </c>
      <c r="E18" s="240">
        <f>IF(ISNUMBER(IF(D_I="SI",Datos!J18,Datos!J18+Datos!AD18)),IF(D_I="SI",Datos!J18,Datos!J18+Datos!AD18)," - ")</f>
        <v>257</v>
      </c>
      <c r="F18" s="240">
        <f>IF(ISNUMBER(IF(D_I="SI",Datos!K18,Datos!K18+Datos!AE18)),IF(D_I="SI",Datos!K18,Datos!K18+Datos!AE18)," - ")</f>
        <v>296</v>
      </c>
      <c r="G18" s="1390" t="str">
        <f>IF(Datos!E18&lt;&gt;"",Datos!E18,Datos!D18)</f>
        <v>37</v>
      </c>
      <c r="H18" s="241">
        <f>IF(ISNUMBER(IF(D_I="SI",Datos!L18,Datos!L18+Datos!AF18)),IF(D_I="SI",Datos!L18,Datos!L18+Datos!AF18)," - ")</f>
        <v>224</v>
      </c>
      <c r="I18" s="1400" t="str">
        <f>IF(ISNUMBER(Datos!AS18/Datos!BM18),Datos!AS18/Datos!BM18," - ")</f>
        <v xml:space="preserve"> - </v>
      </c>
      <c r="J18" s="1401" t="str">
        <f>IF(ISNUMBER((Datos!BY18+Datos!BZ18)/Datos!CN18),(Datos!BY18+Datos!BZ18)/Datos!CN18," - ")</f>
        <v xml:space="preserve"> - </v>
      </c>
      <c r="K18" s="244">
        <f t="shared" si="3"/>
        <v>-0.14828897338403041</v>
      </c>
      <c r="L18" s="1402">
        <f>IF(ISNUMBER(NºAsuntos!I18/NºAsuntos!G18),(NºAsuntos!I18/NºAsuntos!G18)*11," - ")</f>
        <v>8.3243243243243246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1643</v>
      </c>
      <c r="D23" s="1407">
        <f>SUBTOTAL(9,D16:D22)</f>
        <v>1624</v>
      </c>
      <c r="E23" s="1408">
        <f>SUBTOTAL(9,E16:E22)</f>
        <v>1989</v>
      </c>
      <c r="F23" s="1408">
        <f>SUBTOTAL(9,F16:F22)</f>
        <v>2109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1766</v>
      </c>
      <c r="D31" s="1435">
        <f>SUBTOTAL(9,D9:D30)</f>
        <v>1747</v>
      </c>
      <c r="E31" s="1436">
        <f>SUBTOTAL(9,E9:E30)</f>
        <v>2023</v>
      </c>
      <c r="F31" s="1436">
        <f>SUBTOTAL(9,F9:F30)</f>
        <v>2123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kWwpZe3eaQZgQ8DZYJaKvWV80EQsdQmcoDqvL2Y97I+7OjIa7mGoSX5bDk9UZIwJ+ivbIuH14/cJAUuXNE3kg==" saltValue="nXPpnoRF/JBX3CYmhY0U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ftwjumowZ8cIm9ikgHb9kkA3Io8CxBjhiqJj1wUGu578cXXxxie7Zw9ukYyDsOMMm/JQPHTaeTmSwkcj6PI1Q==" saltValue="pCqjTiALKf0zudICN74a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3446</v>
      </c>
      <c r="J9" s="194">
        <v>1619</v>
      </c>
      <c r="K9" s="194">
        <v>1154</v>
      </c>
      <c r="L9" s="194">
        <v>3729</v>
      </c>
      <c r="M9" s="194">
        <v>336</v>
      </c>
      <c r="N9" s="194">
        <v>483</v>
      </c>
      <c r="O9" s="194">
        <v>465</v>
      </c>
      <c r="P9" s="194">
        <v>399</v>
      </c>
      <c r="Q9" s="194">
        <v>110</v>
      </c>
      <c r="R9" s="194">
        <v>7046</v>
      </c>
      <c r="S9" s="194">
        <v>2709</v>
      </c>
      <c r="T9" s="194">
        <v>1336</v>
      </c>
      <c r="U9" s="194">
        <v>1216</v>
      </c>
      <c r="V9" s="194">
        <v>2829</v>
      </c>
      <c r="W9" s="194">
        <v>333</v>
      </c>
      <c r="X9" s="201">
        <v>487</v>
      </c>
      <c r="Y9" s="204">
        <v>119</v>
      </c>
      <c r="Z9" s="194">
        <v>91</v>
      </c>
      <c r="AA9" s="194">
        <v>88</v>
      </c>
      <c r="AB9" s="194">
        <v>122</v>
      </c>
      <c r="AC9" s="194">
        <v>0</v>
      </c>
      <c r="AD9" s="194">
        <v>0</v>
      </c>
      <c r="AE9" s="194">
        <v>0</v>
      </c>
      <c r="AF9" s="201">
        <v>0</v>
      </c>
      <c r="AG9" s="204">
        <v>123</v>
      </c>
      <c r="AH9" s="194">
        <v>96</v>
      </c>
      <c r="AI9" s="194">
        <v>111</v>
      </c>
      <c r="AJ9" s="205">
        <v>108</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2832</v>
      </c>
      <c r="AZ9" s="133">
        <f>IF(ISNUMBER(IF(J_V="SI",T9,T9+AH9)),IF(J_V="SI",T9,T9+AH9)," - ")</f>
        <v>1432</v>
      </c>
      <c r="BA9" s="134">
        <f>IF(ISNUMBER(IF(J_V="SI",U9,U9+AI9)),IF(J_V="SI",U9,U9+AI9)," - ")</f>
        <v>1327</v>
      </c>
      <c r="BB9" s="134">
        <f>IF(ISNUMBER(IF(J_V="SI",V9,V9+AJ9)),IF(J_V="SI",V9,V9+AJ9)," - ")</f>
        <v>2937</v>
      </c>
      <c r="BC9" s="135">
        <f>IF(ISNUMBER(X9),X9," - ")</f>
        <v>487</v>
      </c>
      <c r="BD9" s="136">
        <f>IF(ISNUMBER(BA9/AZ9),BA9/AZ9," - ")</f>
        <v>0.9266759776536313</v>
      </c>
      <c r="BE9" s="137">
        <f>IF(ISNUMBER(BB9/BA9),BB9/BA9, " - ")</f>
        <v>2.2132629992464206</v>
      </c>
      <c r="BF9" s="137">
        <f>IF(ISNUMBER(BC9/BA9),BC9/BA9, " - ")</f>
        <v>0.36699321778447624</v>
      </c>
      <c r="BG9" s="209">
        <f>IF(ISNUMBER((AY9+AZ9)/BA9),(AY9+AZ9)/BA9," - ")</f>
        <v>3.2132629992464206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123</v>
      </c>
      <c r="J10" s="194">
        <v>34</v>
      </c>
      <c r="K10" s="194">
        <v>14</v>
      </c>
      <c r="L10" s="194">
        <v>143</v>
      </c>
      <c r="M10" s="194">
        <v>7</v>
      </c>
      <c r="N10" s="194">
        <v>4</v>
      </c>
      <c r="O10" s="194">
        <v>6</v>
      </c>
      <c r="P10" s="194">
        <v>4</v>
      </c>
      <c r="Q10" s="194">
        <v>3</v>
      </c>
      <c r="R10" s="194">
        <v>66</v>
      </c>
      <c r="S10" s="194">
        <v>115</v>
      </c>
      <c r="T10" s="194">
        <v>30</v>
      </c>
      <c r="U10" s="194">
        <v>19</v>
      </c>
      <c r="V10" s="194">
        <v>126</v>
      </c>
      <c r="W10" s="194">
        <v>3</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115</v>
      </c>
      <c r="AZ10" s="139">
        <f t="shared" si="0"/>
        <v>30</v>
      </c>
      <c r="BA10" s="139">
        <f t="shared" si="0"/>
        <v>19</v>
      </c>
      <c r="BB10" s="139">
        <f t="shared" si="0"/>
        <v>126</v>
      </c>
      <c r="BC10" s="135">
        <f t="shared" si="0"/>
        <v>3</v>
      </c>
      <c r="BD10" s="136">
        <f>IF(ISNUMBER(BA10/AZ10),BA10/AZ10," - ")</f>
        <v>0.6333333333333333</v>
      </c>
      <c r="BE10" s="137">
        <f>IF(ISNUMBER(BB10/BA10),BB10/BA10, " - ")</f>
        <v>6.6315789473684212</v>
      </c>
      <c r="BF10" s="137">
        <f>IF(ISNUMBER(BC10/BA10),BC10/BA10, " - ")</f>
        <v>0.15789473684210525</v>
      </c>
      <c r="BG10" s="209">
        <f>IF(ISNUMBER((AY10+AZ10)/BA10),(AY10+AZ10)/BA10," - ")</f>
        <v>7.6315789473684212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11</v>
      </c>
      <c r="S12" s="196">
        <v>10</v>
      </c>
      <c r="T12" s="196">
        <v>0</v>
      </c>
      <c r="U12" s="196">
        <v>0</v>
      </c>
      <c r="V12" s="196">
        <v>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1075</v>
      </c>
      <c r="AT12" s="216"/>
      <c r="AU12" s="215"/>
      <c r="AV12" s="216"/>
      <c r="AW12" s="215"/>
      <c r="AX12" s="216"/>
      <c r="AY12" s="136">
        <f t="shared" si="1"/>
        <v>10</v>
      </c>
      <c r="AZ12" s="137">
        <f t="shared" si="1"/>
        <v>0</v>
      </c>
      <c r="BA12" s="137">
        <f t="shared" si="1"/>
        <v>0</v>
      </c>
      <c r="BB12" s="137">
        <f t="shared" si="1"/>
        <v>0</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3569</v>
      </c>
      <c r="J14" s="197">
        <f t="shared" si="7"/>
        <v>1653</v>
      </c>
      <c r="K14" s="197">
        <f t="shared" si="7"/>
        <v>1168</v>
      </c>
      <c r="L14" s="197">
        <f t="shared" si="7"/>
        <v>3872</v>
      </c>
      <c r="M14" s="197">
        <f t="shared" si="7"/>
        <v>343</v>
      </c>
      <c r="N14" s="197">
        <f t="shared" si="7"/>
        <v>487</v>
      </c>
      <c r="O14" s="197">
        <f t="shared" si="7"/>
        <v>471</v>
      </c>
      <c r="P14" s="197">
        <f t="shared" si="7"/>
        <v>403</v>
      </c>
      <c r="Q14" s="197">
        <f t="shared" si="7"/>
        <v>113</v>
      </c>
      <c r="R14" s="197">
        <f t="shared" si="7"/>
        <v>7123</v>
      </c>
      <c r="S14" s="197">
        <f t="shared" si="7"/>
        <v>2834</v>
      </c>
      <c r="T14" s="197">
        <f t="shared" si="7"/>
        <v>1366</v>
      </c>
      <c r="U14" s="197">
        <f t="shared" si="7"/>
        <v>1235</v>
      </c>
      <c r="V14" s="197">
        <f t="shared" si="7"/>
        <v>2955</v>
      </c>
      <c r="W14" s="197">
        <f t="shared" si="7"/>
        <v>336</v>
      </c>
      <c r="X14" s="197">
        <f t="shared" si="7"/>
        <v>501</v>
      </c>
      <c r="Y14" s="197">
        <f t="shared" si="7"/>
        <v>119</v>
      </c>
      <c r="Z14" s="197">
        <f t="shared" si="7"/>
        <v>91</v>
      </c>
      <c r="AA14" s="197">
        <f t="shared" si="7"/>
        <v>88</v>
      </c>
      <c r="AB14" s="197">
        <f t="shared" si="7"/>
        <v>122</v>
      </c>
      <c r="AC14" s="197">
        <f t="shared" si="7"/>
        <v>0</v>
      </c>
      <c r="AD14" s="197">
        <f t="shared" si="7"/>
        <v>0</v>
      </c>
      <c r="AE14" s="197">
        <f t="shared" si="7"/>
        <v>0</v>
      </c>
      <c r="AF14" s="197">
        <f>SUBTOTAL(9,AF9:AF13)</f>
        <v>0</v>
      </c>
      <c r="AG14" s="197">
        <f t="shared" ref="AG14:AT14" si="8">SUBTOTAL(9,AG8:AG13)</f>
        <v>123</v>
      </c>
      <c r="AH14" s="197">
        <f t="shared" si="8"/>
        <v>96</v>
      </c>
      <c r="AI14" s="197">
        <f t="shared" si="8"/>
        <v>111</v>
      </c>
      <c r="AJ14" s="197">
        <f t="shared" si="8"/>
        <v>108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2957</v>
      </c>
      <c r="AZ14" s="197">
        <f>SUBTOTAL(9,AZ8:AZ13)</f>
        <v>1462</v>
      </c>
      <c r="BA14" s="197">
        <f>SUBTOTAL(9,BA8:BA13)</f>
        <v>1346</v>
      </c>
      <c r="BB14" s="197">
        <f>SUBTOTAL(9,BB8:BB13)</f>
        <v>3063</v>
      </c>
      <c r="BC14" s="197">
        <f>SUBTOTAL(9,BC8:BC13)</f>
        <v>490</v>
      </c>
      <c r="BD14" s="219">
        <f>IF(ISNUMBER(BA14/AZ14),BA14/AZ14," - ")</f>
        <v>0.92065663474692205</v>
      </c>
      <c r="BE14" s="220">
        <f>IF(ISNUMBER(BB14/BA14),BB14/BA14, " - ")</f>
        <v>2.275631500742942</v>
      </c>
      <c r="BF14" s="220">
        <f>IF(ISNUMBER(BC14/BA14),BC14/BA14, " - ")</f>
        <v>0.36404160475482911</v>
      </c>
      <c r="BG14" s="221">
        <f>IF(ISNUMBER((AY14+AZ14)/BA14),(AY14+AZ14)/BA14," - ")</f>
        <v>3.2830609212481425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1366</v>
      </c>
      <c r="J16" s="196">
        <v>1732</v>
      </c>
      <c r="K16" s="196">
        <v>1813</v>
      </c>
      <c r="L16" s="196">
        <v>1299</v>
      </c>
      <c r="M16" s="196">
        <v>168</v>
      </c>
      <c r="N16" s="196">
        <v>1296</v>
      </c>
      <c r="O16" s="194">
        <v>23</v>
      </c>
      <c r="P16" s="196">
        <v>29</v>
      </c>
      <c r="Q16" s="196">
        <v>25</v>
      </c>
      <c r="R16" s="196">
        <v>200</v>
      </c>
      <c r="S16" s="196">
        <v>1774</v>
      </c>
      <c r="T16" s="196">
        <v>1716</v>
      </c>
      <c r="U16" s="196">
        <v>1711</v>
      </c>
      <c r="V16" s="196">
        <v>1815</v>
      </c>
      <c r="W16" s="196">
        <v>149</v>
      </c>
      <c r="X16" s="202">
        <v>1169</v>
      </c>
      <c r="Y16" s="215">
        <v>0</v>
      </c>
      <c r="Z16" s="196">
        <v>0</v>
      </c>
      <c r="AA16" s="196">
        <v>0</v>
      </c>
      <c r="AB16" s="196">
        <v>0</v>
      </c>
      <c r="AC16" s="196">
        <v>2</v>
      </c>
      <c r="AD16" s="196">
        <v>0</v>
      </c>
      <c r="AE16" s="196">
        <v>2</v>
      </c>
      <c r="AF16" s="202">
        <v>0</v>
      </c>
      <c r="AG16" s="215">
        <v>0</v>
      </c>
      <c r="AH16" s="196">
        <v>0</v>
      </c>
      <c r="AI16" s="196">
        <v>0</v>
      </c>
      <c r="AJ16" s="216">
        <v>0</v>
      </c>
      <c r="AK16" s="195">
        <v>4</v>
      </c>
      <c r="AL16" s="196">
        <v>2</v>
      </c>
      <c r="AM16" s="196">
        <v>2</v>
      </c>
      <c r="AN16" s="202">
        <v>4</v>
      </c>
      <c r="AO16" s="283">
        <v>3</v>
      </c>
      <c r="AP16" s="168">
        <v>3</v>
      </c>
      <c r="AQ16" s="168">
        <v>3</v>
      </c>
      <c r="AR16" s="168">
        <v>3</v>
      </c>
      <c r="AS16" s="381" t="s">
        <v>702</v>
      </c>
      <c r="AT16" s="216" t="s">
        <v>424</v>
      </c>
      <c r="AU16" s="215"/>
      <c r="AV16" s="216"/>
      <c r="AW16" s="215"/>
      <c r="AX16" s="216"/>
      <c r="AY16" s="138">
        <f t="shared" ref="AY16:BB17" si="10">IF(ISNUMBER(IF(D_I="SI",S16,S16+AK16)),IF(D_I="SI",S16,S16+AK16)," - ")</f>
        <v>1774</v>
      </c>
      <c r="AZ16" s="139">
        <f t="shared" si="10"/>
        <v>1716</v>
      </c>
      <c r="BA16" s="139">
        <f t="shared" si="10"/>
        <v>1711</v>
      </c>
      <c r="BB16" s="139">
        <f t="shared" si="10"/>
        <v>1815</v>
      </c>
      <c r="BC16" s="135">
        <f>IF(ISNUMBER(W16),W16," - ")</f>
        <v>149</v>
      </c>
      <c r="BD16" s="136">
        <f>IF(ISNUMBER(BA16/AZ16),BA16/AZ16," - ")</f>
        <v>0.99708624708624705</v>
      </c>
      <c r="BE16" s="137">
        <f>IF(ISNUMBER(BB16/BA16),BB16/BA16, " - ")</f>
        <v>1.0607831677381647</v>
      </c>
      <c r="BF16" s="137">
        <f>IF(ISNUMBER(BC16/BA16),BC16/BA16, " - ")</f>
        <v>8.7083576855639971E-2</v>
      </c>
      <c r="BG16" s="209">
        <f t="shared" ref="BG16:BG22" si="11">IF(ISNUMBER((AY16+AZ16)/BA16),(AY16+AZ16)/BA16," - ")</f>
        <v>2.0397428404441849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258</v>
      </c>
      <c r="J18" s="196">
        <v>257</v>
      </c>
      <c r="K18" s="196">
        <v>296</v>
      </c>
      <c r="L18" s="196">
        <v>224</v>
      </c>
      <c r="M18" s="196">
        <v>37</v>
      </c>
      <c r="N18" s="196">
        <v>211</v>
      </c>
      <c r="O18" s="196">
        <v>0</v>
      </c>
      <c r="P18" s="196">
        <v>8</v>
      </c>
      <c r="Q18" s="196">
        <v>2</v>
      </c>
      <c r="R18" s="196">
        <v>33</v>
      </c>
      <c r="S18" s="196">
        <v>289</v>
      </c>
      <c r="T18" s="196">
        <v>273</v>
      </c>
      <c r="U18" s="196">
        <v>239</v>
      </c>
      <c r="V18" s="196">
        <v>323</v>
      </c>
      <c r="W18" s="196">
        <v>50</v>
      </c>
      <c r="X18" s="202">
        <v>196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289</v>
      </c>
      <c r="AZ18" s="139">
        <f t="shared" si="15"/>
        <v>273</v>
      </c>
      <c r="BA18" s="139">
        <f t="shared" si="15"/>
        <v>239</v>
      </c>
      <c r="BB18" s="139">
        <f t="shared" si="15"/>
        <v>323</v>
      </c>
      <c r="BC18" s="135">
        <f>IF(ISNUMBER(W18),W18," - ")</f>
        <v>50</v>
      </c>
      <c r="BD18" s="136">
        <f>IF(ISNUMBER(BA18/AZ18),BA18/AZ18," - ")</f>
        <v>0.87545787545787546</v>
      </c>
      <c r="BE18" s="137">
        <f>IF(ISNUMBER(BB18/BA18),BB18/BA18, " - ")</f>
        <v>1.3514644351464435</v>
      </c>
      <c r="BF18" s="137">
        <f>IF(ISNUMBER(BC18/BA18),BC18/BA18, " - ")</f>
        <v>0.20920502092050208</v>
      </c>
      <c r="BG18" s="209">
        <f>IF(ISNUMBER((AY18+AZ18)/BA18),(AY18+AZ18)/BA18," - ")</f>
        <v>2.3514644351464433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1624</v>
      </c>
      <c r="J23" s="197">
        <f t="shared" si="21"/>
        <v>1989</v>
      </c>
      <c r="K23" s="197">
        <f t="shared" si="21"/>
        <v>2109</v>
      </c>
      <c r="L23" s="197">
        <f t="shared" si="21"/>
        <v>1523</v>
      </c>
      <c r="M23" s="197">
        <f t="shared" si="21"/>
        <v>205</v>
      </c>
      <c r="N23" s="197">
        <f t="shared" si="21"/>
        <v>1507</v>
      </c>
      <c r="O23" s="197">
        <f t="shared" si="21"/>
        <v>23</v>
      </c>
      <c r="P23" s="197">
        <f t="shared" si="21"/>
        <v>37</v>
      </c>
      <c r="Q23" s="197">
        <f t="shared" si="21"/>
        <v>27</v>
      </c>
      <c r="R23" s="197">
        <f t="shared" si="21"/>
        <v>233</v>
      </c>
      <c r="S23" s="197">
        <f t="shared" si="21"/>
        <v>2063</v>
      </c>
      <c r="T23" s="197">
        <f t="shared" si="21"/>
        <v>1989</v>
      </c>
      <c r="U23" s="197">
        <f t="shared" si="21"/>
        <v>1950</v>
      </c>
      <c r="V23" s="197">
        <f t="shared" si="21"/>
        <v>2138</v>
      </c>
      <c r="W23" s="197">
        <f t="shared" si="21"/>
        <v>199</v>
      </c>
      <c r="X23" s="197">
        <f t="shared" si="21"/>
        <v>1365</v>
      </c>
      <c r="Y23" s="197">
        <f t="shared" si="21"/>
        <v>0</v>
      </c>
      <c r="Z23" s="197">
        <f t="shared" si="21"/>
        <v>0</v>
      </c>
      <c r="AA23" s="197">
        <f t="shared" si="21"/>
        <v>0</v>
      </c>
      <c r="AB23" s="197">
        <f t="shared" si="21"/>
        <v>0</v>
      </c>
      <c r="AC23" s="197">
        <f t="shared" si="21"/>
        <v>2</v>
      </c>
      <c r="AD23" s="197">
        <f t="shared" si="21"/>
        <v>0</v>
      </c>
      <c r="AE23" s="197">
        <f t="shared" si="21"/>
        <v>2</v>
      </c>
      <c r="AF23" s="197">
        <f t="shared" si="21"/>
        <v>0</v>
      </c>
      <c r="AG23" s="197">
        <f t="shared" si="21"/>
        <v>0</v>
      </c>
      <c r="AH23" s="197">
        <f t="shared" si="21"/>
        <v>0</v>
      </c>
      <c r="AI23" s="197">
        <f t="shared" si="21"/>
        <v>0</v>
      </c>
      <c r="AJ23" s="197">
        <f t="shared" si="21"/>
        <v>0</v>
      </c>
      <c r="AK23" s="197">
        <f t="shared" si="21"/>
        <v>4</v>
      </c>
      <c r="AL23" s="197">
        <f t="shared" si="21"/>
        <v>2</v>
      </c>
      <c r="AM23" s="197">
        <f t="shared" si="21"/>
        <v>2</v>
      </c>
      <c r="AN23" s="197">
        <f t="shared" si="21"/>
        <v>4</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2063</v>
      </c>
      <c r="AZ23" s="197">
        <f>SUBTOTAL(9,AZ15:AZ22)</f>
        <v>1989</v>
      </c>
      <c r="BA23" s="197">
        <f>SUBTOTAL(9,BA15:BA22)</f>
        <v>1950</v>
      </c>
      <c r="BB23" s="197">
        <f>SUBTOTAL(9,BB15:BB22)</f>
        <v>2138</v>
      </c>
      <c r="BC23" s="197">
        <f>SUBTOTAL(9,BC15:BC22)</f>
        <v>199</v>
      </c>
      <c r="BD23" s="219">
        <f>IF(ISNUMBER(BA23/AZ23),BA23/AZ23," - ")</f>
        <v>0.98039215686274506</v>
      </c>
      <c r="BE23" s="220">
        <f>IF(ISNUMBER(BB23/BA23),BB23/BA23, " - ")</f>
        <v>1.0964102564102565</v>
      </c>
      <c r="BF23" s="220">
        <f>IF(ISNUMBER(BC23/BA23),BC23/BA23, " - ")</f>
        <v>0.10205128205128206</v>
      </c>
      <c r="BG23" s="221">
        <f>IF(ISNUMBER((AY23+AZ23)/BA23),(AY23+AZ23)/BA23," - ")</f>
        <v>2.0779487179487179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5193</v>
      </c>
      <c r="J31" s="144">
        <f t="shared" si="36"/>
        <v>3642</v>
      </c>
      <c r="K31" s="144">
        <f t="shared" si="36"/>
        <v>3277</v>
      </c>
      <c r="L31" s="144">
        <f t="shared" si="36"/>
        <v>5395</v>
      </c>
      <c r="M31" s="144">
        <f t="shared" si="36"/>
        <v>548</v>
      </c>
      <c r="N31" s="144">
        <f t="shared" si="36"/>
        <v>1994</v>
      </c>
      <c r="O31" s="144">
        <f t="shared" si="36"/>
        <v>494</v>
      </c>
      <c r="P31" s="144">
        <f t="shared" si="36"/>
        <v>440</v>
      </c>
      <c r="Q31" s="144">
        <f t="shared" si="36"/>
        <v>140</v>
      </c>
      <c r="R31" s="144">
        <f t="shared" si="36"/>
        <v>7356</v>
      </c>
      <c r="S31" s="144">
        <f t="shared" si="36"/>
        <v>4897</v>
      </c>
      <c r="T31" s="144">
        <f t="shared" si="36"/>
        <v>3355</v>
      </c>
      <c r="U31" s="144">
        <f t="shared" si="36"/>
        <v>3185</v>
      </c>
      <c r="V31" s="144">
        <f t="shared" si="36"/>
        <v>5093</v>
      </c>
      <c r="W31" s="144">
        <f t="shared" si="36"/>
        <v>535</v>
      </c>
      <c r="X31" s="144">
        <f t="shared" si="36"/>
        <v>1866</v>
      </c>
      <c r="Y31" s="144">
        <f t="shared" si="36"/>
        <v>119</v>
      </c>
      <c r="Z31" s="144">
        <f t="shared" si="36"/>
        <v>91</v>
      </c>
      <c r="AA31" s="144">
        <f t="shared" si="36"/>
        <v>88</v>
      </c>
      <c r="AB31" s="144">
        <f t="shared" si="36"/>
        <v>122</v>
      </c>
      <c r="AC31" s="144">
        <f t="shared" si="36"/>
        <v>2</v>
      </c>
      <c r="AD31" s="144">
        <f t="shared" si="36"/>
        <v>0</v>
      </c>
      <c r="AE31" s="144">
        <f t="shared" si="36"/>
        <v>2</v>
      </c>
      <c r="AF31" s="144">
        <f t="shared" si="36"/>
        <v>0</v>
      </c>
      <c r="AG31" s="144">
        <f t="shared" si="36"/>
        <v>123</v>
      </c>
      <c r="AH31" s="144">
        <f t="shared" si="36"/>
        <v>96</v>
      </c>
      <c r="AI31" s="144">
        <f t="shared" si="36"/>
        <v>111</v>
      </c>
      <c r="AJ31" s="144">
        <f t="shared" si="36"/>
        <v>108</v>
      </c>
      <c r="AK31" s="144">
        <f t="shared" si="36"/>
        <v>4</v>
      </c>
      <c r="AL31" s="144">
        <f t="shared" si="36"/>
        <v>2</v>
      </c>
      <c r="AM31" s="144">
        <f t="shared" si="36"/>
        <v>2</v>
      </c>
      <c r="AN31" s="224">
        <f t="shared" si="36"/>
        <v>4</v>
      </c>
      <c r="AO31" s="225">
        <v>9</v>
      </c>
      <c r="AP31" s="225">
        <v>8</v>
      </c>
      <c r="AQ31" s="225">
        <v>8</v>
      </c>
      <c r="AR31" s="225">
        <v>8</v>
      </c>
      <c r="AS31" s="166">
        <f t="shared" si="36"/>
        <v>0</v>
      </c>
      <c r="AT31" s="166">
        <f t="shared" si="36"/>
        <v>0</v>
      </c>
      <c r="AU31" s="225"/>
      <c r="AV31" s="226"/>
      <c r="AW31" s="225"/>
      <c r="AX31" s="226"/>
      <c r="AY31" s="143">
        <f>SUBTOTAL(9,AY9:AY30)</f>
        <v>5020</v>
      </c>
      <c r="AZ31" s="144">
        <f>SUBTOTAL(9,AZ9:AZ30)</f>
        <v>3451</v>
      </c>
      <c r="BA31" s="144">
        <f>SUBTOTAL(9,BA9:BA30)</f>
        <v>3296</v>
      </c>
      <c r="BB31" s="144">
        <f>SUBTOTAL(9,BB9:BB30)</f>
        <v>5201</v>
      </c>
      <c r="BC31" s="145">
        <f>SUBTOTAL(9,BC9:BC30)</f>
        <v>689</v>
      </c>
      <c r="BD31" s="227">
        <f>IF(ISNUMBER(BA31/AZ31),BA31/AZ31," - ")</f>
        <v>0.95508548246884961</v>
      </c>
      <c r="BE31" s="224">
        <f>IF(ISNUMBER(BB31/BA31),BB31/BA31, " - ")</f>
        <v>1.5779733009708738</v>
      </c>
      <c r="BF31" s="224">
        <f>IF(ISNUMBER(BC31/BA31),BC31/BA31, " - ")</f>
        <v>0.20904126213592233</v>
      </c>
      <c r="BG31" s="145">
        <f>IF(ISNUMBER((AY31+AZ31)/BA31),(AY31+AZ31)/BA31," - ")</f>
        <v>2.5700849514563107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5AlvmKbXD6ngkKfAgl4WBZSpAMHAmcCv+6COaH0eB3RtSLUoJ14FIN2G5NKktw3uEavLBn3S2juukGzn62Iw==" saltValue="1V7/IQBI/udvhhgDVs5a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qFM5EXlTn/t9+r9wjhBhtqFYzA8CKdtTCWwQjLdDI/hOY6Bh9Tf0vHXT0lxcMIJLBedbRMr2CptgBobOaCFYQ==" saltValue="GzXQlz4yxUCEs4LLUw7g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MANACOR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91</v>
      </c>
      <c r="O9" s="549"/>
      <c r="P9" s="549"/>
      <c r="Q9" s="547">
        <f>IF(ISNUMBER(Datos!P9),Datos!P9,0)</f>
        <v>399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122</v>
      </c>
      <c r="AI9" s="549" t="str">
        <f>IF(ISNUMBER(Datos!CD9),Datos!CD9,"-")</f>
        <v>-</v>
      </c>
      <c r="AJ9" s="549" t="str">
        <f>IF(ISNUMBER(Datos!EN9),Datos!EN9," - ")</f>
        <v xml:space="preserve"> - </v>
      </c>
      <c r="AK9" s="549"/>
      <c r="AL9" s="550"/>
      <c r="AM9" s="766">
        <f>IF(ISNUMBER(Datos!R9),Datos!R9," - ")</f>
        <v>7046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336</v>
      </c>
      <c r="BD9" s="693">
        <f>IF(ISNUMBER(Datos!N9),Datos!N9," - ")</f>
        <v>483</v>
      </c>
      <c r="BE9" s="693" t="str">
        <f>IF(ISNUMBER(Datos!BW9),Datos!BW9," - ")</f>
        <v xml:space="preserve"> - </v>
      </c>
      <c r="BF9" s="762" t="str">
        <f>IF(ISNUMBER(Datos!BX9),Datos!BX9," - ")</f>
        <v xml:space="preserve"> - </v>
      </c>
      <c r="BG9" s="763">
        <f>IF(ISNUMBER(IF(J_V="SI",Datos!K9/Datos!J9,(Datos!K9+Datos!AA9)/(Datos!J9+Datos!Z9))),IF(J_V="SI",Datos!K9/Datos!J9,(Datos!K9+Datos!AA9)/(Datos!J9+Datos!Z9))," - ")</f>
        <v>0.72631578947368425</v>
      </c>
      <c r="BH9" s="764">
        <f>IF(ISNUMBER(((IF(J_V="SI",Datos!L9/Datos!K9,(Datos!L9+Datos!AB9)/(Datos!K9+Datos!AA9)))*11)/factor_trimestre),((IF(J_V="SI",Datos!L9/Datos!K9,(Datos!L9+Datos!AB9)/(Datos!K9+Datos!AA9)))*11)/factor_trimestre," - ")</f>
        <v>9.3019323671497585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4.2770460263430517E-2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123</v>
      </c>
      <c r="G10" s="543">
        <f>IF(ISNUMBER(Datos!I10),Datos!I10," - ")</f>
        <v>123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3</v>
      </c>
      <c r="AD10" s="549"/>
      <c r="AE10" s="563"/>
      <c r="AF10" s="551">
        <f>IF(ISNUMBER(Datos!L10),Datos!L10,"-")</f>
        <v>143</v>
      </c>
      <c r="AG10" s="549"/>
      <c r="AH10" s="549"/>
      <c r="AI10" s="549"/>
      <c r="AJ10" s="549"/>
      <c r="AK10" s="549"/>
      <c r="AL10" s="550"/>
      <c r="AM10" s="766">
        <f>IF(ISNUMBER(Datos!R10),Datos!R10," - ")</f>
        <v>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4</v>
      </c>
      <c r="BE10" s="693" t="str">
        <f>IF(ISNUMBER(Datos!BW10),Datos!BW10," - ")</f>
        <v xml:space="preserve"> - </v>
      </c>
      <c r="BF10" s="762" t="str">
        <f>IF(ISNUMBER(Datos!BX10),Datos!BX10," - ")</f>
        <v xml:space="preserve"> - </v>
      </c>
      <c r="BG10" s="763">
        <f>IF(ISNUMBER(Datos!K10/Datos!J10),Datos!K10/Datos!J10," - ")</f>
        <v>0.41176470588235292</v>
      </c>
      <c r="BH10" s="764">
        <f>IF(ISNUMBER(((Datos!L10/Datos!K10)*11)/factor_trimestre),((Datos!L10/Datos!K10)*11)/factor_trimestre," - ")</f>
        <v>30.642857142857142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1.5384615384615385E-2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123</v>
      </c>
      <c r="G14" s="1197">
        <f t="shared" si="1"/>
        <v>123</v>
      </c>
      <c r="H14" s="1198">
        <f t="shared" si="1"/>
        <v>0</v>
      </c>
      <c r="I14" s="1197">
        <f t="shared" si="1"/>
        <v>0</v>
      </c>
      <c r="J14" s="1164">
        <f t="shared" si="1"/>
        <v>0</v>
      </c>
      <c r="K14" s="1164">
        <f t="shared" si="1"/>
        <v>0</v>
      </c>
      <c r="L14" s="1198">
        <f t="shared" si="1"/>
        <v>0</v>
      </c>
      <c r="M14" s="1198">
        <f t="shared" si="1"/>
        <v>0</v>
      </c>
      <c r="N14" s="1198">
        <f t="shared" si="1"/>
        <v>91</v>
      </c>
      <c r="O14" s="1199">
        <f t="shared" si="1"/>
        <v>0</v>
      </c>
      <c r="P14" s="1199">
        <f t="shared" si="1"/>
        <v>0</v>
      </c>
      <c r="Q14" s="1198">
        <f t="shared" si="1"/>
        <v>403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113</v>
      </c>
      <c r="AD14" s="1198">
        <f t="shared" si="2"/>
        <v>0</v>
      </c>
      <c r="AE14" s="1198">
        <f t="shared" si="2"/>
        <v>0</v>
      </c>
      <c r="AF14" s="1198">
        <f t="shared" si="2"/>
        <v>143</v>
      </c>
      <c r="AG14" s="1198">
        <f t="shared" si="2"/>
        <v>0</v>
      </c>
      <c r="AH14" s="1198">
        <f t="shared" si="2"/>
        <v>122</v>
      </c>
      <c r="AI14" s="1198">
        <f t="shared" si="2"/>
        <v>0</v>
      </c>
      <c r="AJ14" s="1198">
        <f t="shared" si="2"/>
        <v>0</v>
      </c>
      <c r="AK14" s="1198">
        <f t="shared" si="2"/>
        <v>0</v>
      </c>
      <c r="AL14" s="1198">
        <f t="shared" si="2"/>
        <v>0</v>
      </c>
      <c r="AM14" s="1198">
        <f t="shared" si="2"/>
        <v>7123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343</v>
      </c>
      <c r="BD14" s="1198">
        <f t="shared" si="2"/>
        <v>487</v>
      </c>
      <c r="BE14" s="1198">
        <f t="shared" si="2"/>
        <v>0</v>
      </c>
      <c r="BF14" s="1198">
        <f t="shared" si="2"/>
        <v>0</v>
      </c>
      <c r="BG14" s="1198">
        <f>IF(ISNUMBER(Datos!K14/Datos!J14),Datos!K14/Datos!J14," - ")</f>
        <v>0.7065940713853599</v>
      </c>
      <c r="BH14" s="1202">
        <f>IF(ISNUMBER(((Datos!L14/Datos!K14)*11)/factor_trimestre),((Datos!L14/Datos!K14)*11)/factor_trimestre," - ")</f>
        <v>9.9452054794520546</v>
      </c>
      <c r="BI14" s="1198">
        <f>IF(ISNUMBER('Resol  Asuntos'!D14/NºAsuntos!G14),'Resol  Asuntos'!D14/NºAsuntos!G14," - ")</f>
        <v>0.27308917197452232</v>
      </c>
      <c r="BJ14" s="1198" t="str">
        <f>IF(ISNUMBER(Datos!CI14/Datos!CJ14),Datos!CI14/Datos!CJ14," - ")</f>
        <v xml:space="preserve"> - </v>
      </c>
      <c r="BK14" s="1198">
        <f>SUBTOTAL(9,BK8:BK13)</f>
        <v>0</v>
      </c>
      <c r="BL14" s="1198">
        <f>IF(ISNUMBER((I14-AB14+L14)/(F14)),(I14-AB14+L14)/(F14)," - ")</f>
        <v>-0.11382113821138211</v>
      </c>
      <c r="BM14" s="1203">
        <f>SUBTOTAL(9,BM9:BM13)</f>
        <v>5.8155075648045902E-2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1380</v>
      </c>
      <c r="G16" s="743">
        <f>IF(ISNUMBER(IF(D_I="SI",Datos!I16,Datos!I16+Datos!AC16)),IF(D_I="SI",Datos!I16,Datos!I16+Datos!AC16)," - ")</f>
        <v>1366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1813</v>
      </c>
      <c r="AC16" s="240">
        <f>IF(ISNUMBER(Datos!Q16),Datos!Q16," - ")</f>
        <v>25</v>
      </c>
      <c r="AD16" s="374"/>
      <c r="AE16" s="562"/>
      <c r="AF16" s="741">
        <f>IF(ISNUMBER(IF(D_I="SI",Datos!L16,Datos!L16+Datos!AF16)),IF(D_I="SI",Datos!L16,Datos!L16+Datos!AF16)," - ")</f>
        <v>1299</v>
      </c>
      <c r="AG16" s="374"/>
      <c r="AH16" s="374"/>
      <c r="AI16" s="374"/>
      <c r="AJ16" s="549"/>
      <c r="AK16" s="374"/>
      <c r="AL16" s="545"/>
      <c r="AM16" s="375">
        <f>IF(ISNUMBER(Datos!R16),Datos!R16," - ")</f>
        <v>200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168</v>
      </c>
      <c r="BD16" s="243">
        <f>IF(ISNUMBER(Datos!N16),Datos!N16," - ")</f>
        <v>1296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1.0467667436489607</v>
      </c>
      <c r="BH16" s="764">
        <f>IF(ISNUMBER(((IF(D_I="SI",Datos!L16/Datos!K16,(Datos!L16+Datos!AF16)/(Datos!K16+Datos!AE16)))*11)/factor_trimestre),((IF(D_I="SI",Datos!L16/Datos!K16,(Datos!L16+Datos!AF16)/(Datos!K16+Datos!AE16)))*11)/factor_trimestre," - ")</f>
        <v>2.1494760066188641</v>
      </c>
      <c r="BI16" s="266">
        <f>IF(ISNUMBER('Resol  Asuntos'!D16/NºAsuntos!G16),'Resol  Asuntos'!D16/NºAsuntos!G16," - ")</f>
        <v>9.2664092664092659E-2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296</v>
      </c>
      <c r="AC18" s="547">
        <f>IF(ISNUMBER(Datos!Q18),Datos!Q18," - ")</f>
        <v>2</v>
      </c>
      <c r="AD18" s="549"/>
      <c r="AE18" s="562"/>
      <c r="AF18" s="551">
        <f>IF(ISNUMBER(Datos!L18),Datos!L18,"-")</f>
        <v>224</v>
      </c>
      <c r="AG18" s="549"/>
      <c r="AH18" s="549"/>
      <c r="AI18" s="549"/>
      <c r="AJ18" s="549"/>
      <c r="AK18" s="549"/>
      <c r="AL18" s="550"/>
      <c r="AM18" s="766">
        <f>IF(ISNUMBER(Datos!R18),Datos!R18," - ")</f>
        <v>33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211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1.1517509727626458</v>
      </c>
      <c r="BH18" s="764">
        <f>IF(ISNUMBER(((IF(D_I="SI",Datos!L18/Datos!K18,(Datos!L18+Datos!AF18)/(Datos!K18+Datos!AE18)))*11)/factor_trimestre),((IF(D_I="SI",Datos!L18/Datos!K18,(Datos!L18+Datos!AF18)/(Datos!K18+Datos!AE18)))*11)/factor_trimestre," - ")</f>
        <v>2.2702702702702706</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1380</v>
      </c>
      <c r="G23" s="1197">
        <f>SUBTOTAL(9,G16:G22)</f>
        <v>1624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2109</v>
      </c>
      <c r="AC23" s="1198">
        <f t="shared" si="5"/>
        <v>27</v>
      </c>
      <c r="AD23" s="1198">
        <f t="shared" si="5"/>
        <v>0</v>
      </c>
      <c r="AE23" s="1198">
        <f t="shared" si="5"/>
        <v>0</v>
      </c>
      <c r="AF23" s="1198">
        <f t="shared" si="5"/>
        <v>1523</v>
      </c>
      <c r="AG23" s="1198">
        <f t="shared" si="5"/>
        <v>0</v>
      </c>
      <c r="AH23" s="1198">
        <f t="shared" si="5"/>
        <v>0</v>
      </c>
      <c r="AI23" s="1198">
        <f t="shared" si="5"/>
        <v>0</v>
      </c>
      <c r="AJ23" s="1198">
        <f t="shared" si="5"/>
        <v>0</v>
      </c>
      <c r="AK23" s="1198">
        <f t="shared" si="5"/>
        <v>0</v>
      </c>
      <c r="AL23" s="1198">
        <f t="shared" si="5"/>
        <v>0</v>
      </c>
      <c r="AM23" s="1198">
        <f t="shared" si="5"/>
        <v>233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205</v>
      </c>
      <c r="BD23" s="1198">
        <f t="shared" si="5"/>
        <v>1507</v>
      </c>
      <c r="BE23" s="1198">
        <f t="shared" si="5"/>
        <v>0</v>
      </c>
      <c r="BF23" s="1198">
        <f t="shared" si="5"/>
        <v>0</v>
      </c>
      <c r="BG23" s="1198">
        <f>IF(ISNUMBER(Datos!K23/Datos!J23),Datos!K23/Datos!J23," - ")</f>
        <v>1.0603318250377074</v>
      </c>
      <c r="BH23" s="1202">
        <f>IF(ISNUMBER(((Datos!L23/Datos!K23)*11)/factor_trimestre),((Datos!L23/Datos!K23)*11)/factor_trimestre," - ")</f>
        <v>2.1664295874822193</v>
      </c>
      <c r="BI23" s="1198">
        <f>SUBTOTAL(9,BI16:BI22)</f>
        <v>0.21766409266409265</v>
      </c>
      <c r="BJ23" s="1198">
        <f>SUBTOTAL(9,BJ16:BJ22)</f>
        <v>0</v>
      </c>
      <c r="BK23" s="1198">
        <f>SUBTOTAL(9,BK16:BK22)</f>
        <v>0</v>
      </c>
      <c r="BL23" s="1198">
        <f>IF(ISNUMBER((I23-AB23+L23)/(F23)),(I23-AB23+L23)/(F23)," - ")</f>
        <v>-1.5282608695652173</v>
      </c>
      <c r="BM23" s="1205">
        <f>IF(ISNUMBER((Datos!P23-Datos!Q23)/(Datos!R23-Datos!P23+Datos!Q23)),(Datos!P23-Datos!Q23)/(Datos!R23-Datos!P23+Datos!Q23)," - ")</f>
        <v>4.4843049327354258E-2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1503</v>
      </c>
      <c r="G31" s="1117">
        <f t="shared" si="18"/>
        <v>1747</v>
      </c>
      <c r="H31" s="1119">
        <f t="shared" si="18"/>
        <v>0</v>
      </c>
      <c r="I31" s="1117">
        <f t="shared" si="18"/>
        <v>0</v>
      </c>
      <c r="J31" s="1119">
        <f t="shared" si="18"/>
        <v>0</v>
      </c>
      <c r="K31" s="1119">
        <f t="shared" si="18"/>
        <v>0</v>
      </c>
      <c r="L31" s="1180">
        <f t="shared" si="18"/>
        <v>0</v>
      </c>
      <c r="M31" s="1180">
        <f t="shared" si="18"/>
        <v>0</v>
      </c>
      <c r="N31" s="1180">
        <f t="shared" si="18"/>
        <v>91</v>
      </c>
      <c r="O31" s="1180">
        <f t="shared" si="18"/>
        <v>0</v>
      </c>
      <c r="P31" s="1180">
        <f t="shared" si="18"/>
        <v>0</v>
      </c>
      <c r="Q31" s="1119">
        <f t="shared" si="18"/>
        <v>440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2123</v>
      </c>
      <c r="AC31" s="1118">
        <f t="shared" si="19"/>
        <v>140</v>
      </c>
      <c r="AD31" s="1118">
        <f t="shared" si="19"/>
        <v>0</v>
      </c>
      <c r="AE31" s="1118">
        <f t="shared" si="19"/>
        <v>0</v>
      </c>
      <c r="AF31" s="1125">
        <f t="shared" si="19"/>
        <v>1666</v>
      </c>
      <c r="AG31" s="1125">
        <f t="shared" si="19"/>
        <v>0</v>
      </c>
      <c r="AH31" s="1125">
        <f t="shared" si="19"/>
        <v>122</v>
      </c>
      <c r="AI31" s="1125">
        <f t="shared" si="19"/>
        <v>0</v>
      </c>
      <c r="AJ31" s="1118">
        <f t="shared" si="19"/>
        <v>0</v>
      </c>
      <c r="AK31" s="1125">
        <f t="shared" si="19"/>
        <v>0</v>
      </c>
      <c r="AL31" s="1125">
        <f t="shared" si="19"/>
        <v>0</v>
      </c>
      <c r="AM31" s="1125">
        <f t="shared" si="19"/>
        <v>7356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548</v>
      </c>
      <c r="BD31" s="1117">
        <f t="shared" si="19"/>
        <v>1994</v>
      </c>
      <c r="BE31" s="1117">
        <f t="shared" si="19"/>
        <v>0</v>
      </c>
      <c r="BF31" s="1127">
        <f t="shared" si="19"/>
        <v>0</v>
      </c>
      <c r="BG31" s="1223">
        <f>IF(ISNUMBER(Datos!K31/Datos!J31),Datos!K31/Datos!J31," - ")</f>
        <v>0.89978034047226796</v>
      </c>
      <c r="BH31" s="1223">
        <f>IF(ISNUMBER(((Datos!L31/Datos!K31)*11)/factor_trimestre),((Datos!L31/Datos!K31)*11)/factor_trimestre," - ")</f>
        <v>4.938968568812939</v>
      </c>
      <c r="BI31" s="1103">
        <f>IF(ISNUMBER(Datos!J31/Datos!I31),Datos!J31/Datos!I31," - ")</f>
        <v>0.70132871172732525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-1.4125083166999335</v>
      </c>
      <c r="BM31" s="1188">
        <f>IF(ISNUMBER((Datos!P31-Datos!Q31+R31)/(Datos!R31-Datos!P31+Datos!Q31-R31)),(Datos!P31-Datos!Q31+R31)/(Datos!R31-Datos!P31+Datos!Q31-R31)," - ")</f>
        <v>4.2517006802721087E-2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683.08886683944718</v>
      </c>
      <c r="G33" s="674">
        <f>IF(ISNUMBER(STDEV(G8:G30)),STDEV(G8:G30),"-")</f>
        <v>689.9455119962804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935.17874532855262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145.23410220896622</v>
      </c>
      <c r="BD33" s="673"/>
      <c r="BE33" s="673">
        <f>IF(ISNUMBER(STDEV(BE8:BE30)),STDEV(BE8:BE30),"-")</f>
        <v>0</v>
      </c>
      <c r="BF33" s="678">
        <f>IF(ISNUMBER(STDEV(BF8:BF30)),STDEV(BF8:BF30),"-")</f>
        <v>0</v>
      </c>
      <c r="BG33" s="1052">
        <f>IF(ISNUMBER(STDEV(BG8:BG30)),STDEV(BG8:BG30),"-")</f>
        <v>0.28352122495823229</v>
      </c>
      <c r="BH33" s="1058">
        <f>IF(ISNUMBER(STDEV(BH8:BH30)),STDEV(BH8:BH30),"-")</f>
        <v>11.020821784040292</v>
      </c>
      <c r="BI33" s="273">
        <f>IF(ISNUMBER(STDEV(BI8:BI30)),STDEV(BI8:BI30),"-")</f>
        <v>8.3072657199053684E-2</v>
      </c>
      <c r="BJ33" s="244" t="str">
        <f>IF(ISNUMBER(BL33/BM33),BL33/BM33," - ")</f>
        <v xml:space="preserve"> - </v>
      </c>
      <c r="BK33" s="709"/>
      <c r="BL33" s="681">
        <f>IF(ISNUMBER(STDEV(BL8:BL30)),STDEV(BL8:BL30),"-")</f>
        <v>1.0001599256199756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wQhs3P4au7VpudrbdjRMxzj/IKeVJNVfOOVCy8eXIu2NvLvF8B/6HDCQIVEhlBsOO4+E5ziCGAYtN2DH/8IKg==" saltValue="nDaafE5j0uxVYXPoL6wi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MANACOR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399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110</v>
      </c>
      <c r="AA9" s="551" t="str">
        <f>IF(ISNUMBER(IF(J_V="SI",Datos!L9,Datos!L9+Datos!AB9)-IF(Monitorios="SI",Datos!CD9,0)),
                          IF(J_V="SI",Datos!L9,Datos!L9+Datos!AB9)-IF(Monitorios="SI",Datos!CD9,0),
                          " - ")</f>
        <v xml:space="preserve"> - </v>
      </c>
      <c r="AB9" s="549"/>
      <c r="AC9" s="549"/>
      <c r="AD9" s="563"/>
      <c r="AE9" s="563">
        <f>IF(ISNUMBER(Datos!R9),Datos!R9," - ")</f>
        <v>7046</v>
      </c>
      <c r="AF9" s="693" t="str">
        <f>IF(ISNUMBER(Datos!BV9),Datos!BV9," - ")</f>
        <v xml:space="preserve"> - </v>
      </c>
      <c r="AG9" s="552" t="str">
        <f>IF(ISNUMBER(Datos!DV9),Datos!DV9," - ")</f>
        <v xml:space="preserve"> - </v>
      </c>
      <c r="AH9" s="553"/>
      <c r="AI9" s="554"/>
      <c r="AJ9" s="552">
        <f>IF(ISNUMBER(Datos!M9),Datos!M9," - ")</f>
        <v>336</v>
      </c>
      <c r="AK9" s="693">
        <f>IF(ISNUMBER(Datos!N9),Datos!N9," - ")</f>
        <v>483</v>
      </c>
      <c r="AL9" s="693" t="str">
        <f>IF(ISNUMBER(Datos!BW9),Datos!BW9," - ")</f>
        <v xml:space="preserve"> - </v>
      </c>
      <c r="AM9" s="762" t="str">
        <f>IF(ISNUMBER(Datos!BX9),Datos!BX9," - ")</f>
        <v xml:space="preserve"> - </v>
      </c>
      <c r="AN9" s="763"/>
      <c r="AO9" s="764">
        <f>IF(ISNUMBER(((NºAsuntos!I9/NºAsuntos!G9)*11)/factor_trimestre),((NºAsuntos!I9/NºAsuntos!G9)*11)/factor_trimestre," - ")</f>
        <v>9.3019323671497585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4.2770460263430517E-2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123</v>
      </c>
      <c r="G10" s="552">
        <f>IF(ISNUMBER(Datos!I10),Datos!I10," - ")</f>
        <v>123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3</v>
      </c>
      <c r="AA10" s="551">
        <f>IF(ISNUMBER(Datos!L10),Datos!L10,"-")</f>
        <v>143</v>
      </c>
      <c r="AB10" s="549"/>
      <c r="AC10" s="549"/>
      <c r="AD10" s="563"/>
      <c r="AE10" s="563">
        <f>IF(ISNUMBER(Datos!R10),Datos!R10," - ")</f>
        <v>66</v>
      </c>
      <c r="AF10" s="693" t="str">
        <f>IF(ISNUMBER(Datos!BV10),Datos!BV10," - ")</f>
        <v xml:space="preserve"> - </v>
      </c>
      <c r="AG10" s="552" t="str">
        <f>IF(ISNUMBER(Datos!DV10),Datos!DV10," - ")</f>
        <v xml:space="preserve"> - </v>
      </c>
      <c r="AH10" s="553"/>
      <c r="AI10" s="554"/>
      <c r="AJ10" s="552">
        <f>IF(ISNUMBER(Datos!M10),Datos!M10," - ")</f>
        <v>7</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30.642857142857142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1.5384615384615385E-2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123</v>
      </c>
      <c r="G14" s="1197">
        <f>SUBTOTAL(9,G8:G13)</f>
        <v>123</v>
      </c>
      <c r="H14" s="1211"/>
      <c r="I14" s="1197">
        <f t="shared" ref="I14:N14" si="1">SUBTOTAL(9,I8:I13)</f>
        <v>0</v>
      </c>
      <c r="J14" s="1164">
        <f t="shared" si="1"/>
        <v>0</v>
      </c>
      <c r="K14" s="1211">
        <f t="shared" si="1"/>
        <v>0</v>
      </c>
      <c r="L14" s="1211">
        <f t="shared" si="1"/>
        <v>0</v>
      </c>
      <c r="M14" s="1211">
        <f t="shared" si="1"/>
        <v>0</v>
      </c>
      <c r="N14" s="1211">
        <f t="shared" si="1"/>
        <v>403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113</v>
      </c>
      <c r="AA14" s="1199">
        <f t="shared" si="3"/>
        <v>143</v>
      </c>
      <c r="AB14" s="1199">
        <f t="shared" si="3"/>
        <v>0</v>
      </c>
      <c r="AC14" s="1199">
        <f t="shared" si="3"/>
        <v>0</v>
      </c>
      <c r="AD14" s="1199">
        <f t="shared" si="3"/>
        <v>0</v>
      </c>
      <c r="AE14" s="1199">
        <f t="shared" si="3"/>
        <v>7123</v>
      </c>
      <c r="AF14" s="1211">
        <f t="shared" si="3"/>
        <v>0</v>
      </c>
      <c r="AG14" s="1211">
        <f t="shared" si="3"/>
        <v>0</v>
      </c>
      <c r="AH14" s="1211">
        <f t="shared" si="3"/>
        <v>0</v>
      </c>
      <c r="AI14" s="1211">
        <f t="shared" si="3"/>
        <v>0</v>
      </c>
      <c r="AJ14" s="1211">
        <f t="shared" si="3"/>
        <v>343</v>
      </c>
      <c r="AK14" s="1211">
        <f t="shared" si="3"/>
        <v>487</v>
      </c>
      <c r="AL14" s="1211">
        <f t="shared" si="3"/>
        <v>0</v>
      </c>
      <c r="AM14" s="1211">
        <f t="shared" si="3"/>
        <v>0</v>
      </c>
      <c r="AN14" s="1211">
        <f t="shared" si="3"/>
        <v>0</v>
      </c>
      <c r="AO14" s="1203">
        <f>IF(ISNUMBER(((NºAsuntos!I14/NºAsuntos!G14)*11)/factor_trimestre),((NºAsuntos!I14/NºAsuntos!G14)*11)/factor_trimestre," - ")</f>
        <v>9.5398089171974512</v>
      </c>
      <c r="AP14" s="1213" t="str">
        <f>IF(ISNUMBER(Datos!CI14/Datos!CJ14),Datos!CI14/Datos!CJ14," - ")</f>
        <v xml:space="preserve"> - </v>
      </c>
      <c r="AQ14" s="1236">
        <f t="shared" ref="AQ14:AV14" si="4">SUBTOTAL(9,AQ9:AQ13)</f>
        <v>0</v>
      </c>
      <c r="AR14" s="1236">
        <f t="shared" si="4"/>
        <v>5.8155075648045902E-2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1380</v>
      </c>
      <c r="G16" s="552">
        <f>IF(ISNUMBER(IF(D_I="SI",Datos!I16,Datos!I16+Datos!AC16)),IF(D_I="SI",Datos!I16,Datos!I16+Datos!AC16)," - ")</f>
        <v>1366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1813</v>
      </c>
      <c r="Z16" s="805">
        <f>IF(ISNUMBER(Datos!Q16),Datos!Q16," - ")</f>
        <v>25</v>
      </c>
      <c r="AA16" s="551">
        <f>IF(ISNUMBER(IF(D_I="SI",Datos!L16,Datos!L16+Datos!AF16)),IF(D_I="SI",Datos!L16,Datos!L16+Datos!AF16)," - ")</f>
        <v>1299</v>
      </c>
      <c r="AB16" s="549"/>
      <c r="AC16" s="549"/>
      <c r="AD16" s="563"/>
      <c r="AE16" s="563">
        <f>IF(ISNUMBER(Datos!R16),Datos!R16," - ")</f>
        <v>200</v>
      </c>
      <c r="AF16" s="693" t="str">
        <f>IF(ISNUMBER(Datos!BV16),Datos!BV16," - ")</f>
        <v xml:space="preserve"> - </v>
      </c>
      <c r="AG16" s="552"/>
      <c r="AH16" s="553"/>
      <c r="AI16" s="554"/>
      <c r="AJ16" s="552">
        <f>IF(ISNUMBER(Datos!M16),Datos!M16," - ")</f>
        <v>168</v>
      </c>
      <c r="AK16" s="693">
        <f>IF(ISNUMBER(Datos!N16),Datos!N16," - ")</f>
        <v>1296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2.1494760066188641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296</v>
      </c>
      <c r="Z18" s="805">
        <f>IF(ISNUMBER(Datos!Q18),Datos!Q18," - ")</f>
        <v>2</v>
      </c>
      <c r="AA18" s="551">
        <f>IF(ISNUMBER(Datos!L18),Datos!L18,"-")</f>
        <v>224</v>
      </c>
      <c r="AB18" s="549"/>
      <c r="AC18" s="549"/>
      <c r="AD18" s="563"/>
      <c r="AE18" s="563">
        <f>IF(ISNUMBER(Datos!R18),Datos!R18," - ")</f>
        <v>33</v>
      </c>
      <c r="AF18" s="693" t="str">
        <f>IF(ISNUMBER(Datos!BV18),Datos!BV18," - ")</f>
        <v xml:space="preserve"> - </v>
      </c>
      <c r="AG18" s="552" t="str">
        <f>IF(ISNUMBER(Datos!DV18),Datos!DV18," - ")</f>
        <v xml:space="preserve"> - </v>
      </c>
      <c r="AH18" s="553"/>
      <c r="AI18" s="554"/>
      <c r="AJ18" s="552">
        <f>IF(ISNUMBER(Datos!M18),Datos!M18," - ")</f>
        <v>37</v>
      </c>
      <c r="AK18" s="693">
        <f>IF(ISNUMBER(Datos!N18),Datos!N18," - ")</f>
        <v>211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2.2702702702702706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1380</v>
      </c>
      <c r="G23" s="1197">
        <f>SUBTOTAL(9,G16:G22)</f>
        <v>1624</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2109</v>
      </c>
      <c r="Z23" s="1240">
        <f t="shared" si="6"/>
        <v>27</v>
      </c>
      <c r="AA23" s="1240">
        <f t="shared" si="6"/>
        <v>1523</v>
      </c>
      <c r="AB23" s="1240">
        <f t="shared" si="6"/>
        <v>0</v>
      </c>
      <c r="AC23" s="1240">
        <f t="shared" si="6"/>
        <v>0</v>
      </c>
      <c r="AD23" s="1240">
        <f t="shared" si="6"/>
        <v>0</v>
      </c>
      <c r="AE23" s="1240">
        <f t="shared" si="6"/>
        <v>233</v>
      </c>
      <c r="AF23" s="1240">
        <f t="shared" si="6"/>
        <v>0</v>
      </c>
      <c r="AG23" s="1240">
        <f t="shared" si="6"/>
        <v>0</v>
      </c>
      <c r="AH23" s="1240">
        <f t="shared" si="6"/>
        <v>0</v>
      </c>
      <c r="AI23" s="1240">
        <f t="shared" si="6"/>
        <v>0</v>
      </c>
      <c r="AJ23" s="1240">
        <f t="shared" si="6"/>
        <v>205</v>
      </c>
      <c r="AK23" s="1240">
        <f t="shared" si="6"/>
        <v>1507</v>
      </c>
      <c r="AL23" s="1240">
        <f t="shared" si="6"/>
        <v>0</v>
      </c>
      <c r="AM23" s="1240">
        <f t="shared" si="6"/>
        <v>0</v>
      </c>
      <c r="AN23" s="1240">
        <f t="shared" si="6"/>
        <v>0</v>
      </c>
      <c r="AO23" s="1242">
        <f>IF(ISNUMBER(((NºAsuntos!I23/NºAsuntos!G23)*11)/factor_trimestre),((NºAsuntos!I23/NºAsuntos!G23)*11)/factor_trimestre," - ")</f>
        <v>2.1664295874822193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1503</v>
      </c>
      <c r="G31" s="1117">
        <f t="shared" si="12"/>
        <v>1747</v>
      </c>
      <c r="H31" s="1118">
        <f t="shared" si="12"/>
        <v>0</v>
      </c>
      <c r="I31" s="1117">
        <f t="shared" si="12"/>
        <v>0</v>
      </c>
      <c r="J31" s="1119">
        <f t="shared" si="12"/>
        <v>0</v>
      </c>
      <c r="K31" s="1117">
        <f t="shared" si="12"/>
        <v>0</v>
      </c>
      <c r="L31" s="1120">
        <f t="shared" si="12"/>
        <v>0</v>
      </c>
      <c r="M31" s="1117">
        <f t="shared" si="12"/>
        <v>0</v>
      </c>
      <c r="N31" s="1118">
        <f t="shared" si="12"/>
        <v>440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2123</v>
      </c>
      <c r="Z31" s="1124">
        <f t="shared" si="13"/>
        <v>140</v>
      </c>
      <c r="AA31" s="1125">
        <f t="shared" si="13"/>
        <v>1666</v>
      </c>
      <c r="AB31" s="1125">
        <f t="shared" si="13"/>
        <v>0</v>
      </c>
      <c r="AC31" s="1125">
        <f t="shared" si="13"/>
        <v>0</v>
      </c>
      <c r="AD31" s="1126">
        <f t="shared" si="13"/>
        <v>0</v>
      </c>
      <c r="AE31" s="1126">
        <f t="shared" si="13"/>
        <v>7356</v>
      </c>
      <c r="AF31" s="1127">
        <f t="shared" si="13"/>
        <v>0</v>
      </c>
      <c r="AG31" s="1128">
        <f t="shared" si="13"/>
        <v>0</v>
      </c>
      <c r="AH31" s="1129">
        <f t="shared" si="13"/>
        <v>0</v>
      </c>
      <c r="AI31" s="1127">
        <f t="shared" si="13"/>
        <v>0</v>
      </c>
      <c r="AJ31" s="1117">
        <f t="shared" si="13"/>
        <v>548</v>
      </c>
      <c r="AK31" s="1117">
        <f t="shared" si="13"/>
        <v>1994</v>
      </c>
      <c r="AL31" s="1117">
        <f t="shared" si="13"/>
        <v>0</v>
      </c>
      <c r="AM31" s="1130">
        <f t="shared" si="13"/>
        <v>0</v>
      </c>
      <c r="AN31" s="1120">
        <f>IF(ISNUMBER(Datos!K31/Datos!J31),Datos!K31/Datos!J31," - ")</f>
        <v>0.89978034047226796</v>
      </c>
      <c r="AO31" s="1120">
        <f>IF(ISNUMBER(FIND("06",Criterios!A8,1)),(IF(ISNUMBER(((Datos!R31/Datos!Q31)*11)/factor_trimestre),((Datos!R31/Datos!Q31)*11)/factor_trimestre," - ")),(IF(ISNUMBER(((Datos!L31/Datos!K31)*11)/factor_trimestre),((Datos!L31/Datos!K31)*11)/factor_trimestre," - ")))</f>
        <v>4.938968568812939</v>
      </c>
      <c r="AP31" s="1131" t="str">
        <f>IF(ISNUMBER(Datos!CI31/Datos!CJ31),Datos!CI31/Datos!CJ31," - ")</f>
        <v xml:space="preserve"> - </v>
      </c>
      <c r="AQ31" s="1131">
        <f>IF(OR(ISNUMBER(FIND("01",Criterios!A8,1)),ISNUMBER(FIND("02",Criterios!A8,1)),ISNUMBER(FIND("03",Criterios!A8,1)),ISNUMBER(FIND("04",Criterios!A8,1))),(J31-Y31+K31)/(F31-K31),(I31-Y31+K31)/(F31-K31))</f>
        <v>-1.4125083166999335</v>
      </c>
      <c r="AR31" s="1131">
        <f>IF(ISNUMBER((Datos!P31-Datos!Q31+O31)/(Datos!R31-Datos!P31+Datos!Q31-O31)),(Datos!P31-Datos!Q31+O31)/(Datos!R31-Datos!P31+Datos!Q31-O31)," - ")</f>
        <v>4.2517006802721087E-2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683.08886683944718</v>
      </c>
      <c r="G33" s="674">
        <f>IF(ISNUMBER(STDEV(G8:G30)),STDEV(G8:G30),"-")</f>
        <v>689.9455119962804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145.23410220896622</v>
      </c>
      <c r="AK33" s="276"/>
      <c r="AL33" s="276">
        <f>IF(ISNUMBER(STDEV(AL8:AL30)),STDEV(AL8:AL30),"-")</f>
        <v>0</v>
      </c>
      <c r="AM33" s="278">
        <f>IF(ISNUMBER(STDEV(AM8:AM30)),STDEV(AM8:AM30),"-")</f>
        <v>0</v>
      </c>
      <c r="AN33" s="660">
        <f>IF(ISNUMBER(STDEV(AN8:AN30)),STDEV(AN8:AN30),"-")</f>
        <v>0</v>
      </c>
      <c r="AO33" s="661">
        <f>IF(ISNUMBER(STDEV(AO8:AO30)),STDEV(AO8:AO30),"-")</f>
        <v>11.018146518978313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ycJa8SPYwst1CRgd68dMJxh9JYF1muN6DnSBxqhMkNIiMvRJ8+/dLBs99faPHJbq2vmmXFCSvSJfmom5r4nIA==" saltValue="zCdrEpzWg+3tcVfZHgpz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hp3ppfP6rM2pA0Ja5VPVUWm9hRmqIWrxDVDiJ1BcBdcY6uo+rRPtCfBT8As2wZDKDfyfoJwjRIihpZ1jBZQTw==" saltValue="IH8bzS5Ud39dPmTUNq2N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5qzad/D6ZFvrA/PhqOX682redIOnoirq4Nnb1OxlPqWFtnfNs52UKmh7vv6X8ImcpmP7MenmGjX03KfeHkj8w==" saltValue="7itGfrszHmVYMB63akjy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MANACOR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0.27308917197452232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0.193103205371804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Q73kM7dBLWaNtUf/f9jmZ1qwxQoT5N+hzy/la1NDS+mpI2p1dFXGcyEvHhsLRUfwPxx8qaKVXdbodpz3oSvdQ==" saltValue="WNImANSFe1pQLHznCDe7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ahRmJ6SJUazR+2ASWANy/HNE5NPl9IOt7/TmDKiQRO+hPL51PKHEFaKMcICpBrOmi4uoZLfUcKufcpg6w+Wdg==" saltValue="1gvzuDC1TJv2cxPY3JWB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MANACOR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3565</v>
      </c>
      <c r="D9" s="452">
        <f>IF(ISNUMBER(C9/Datos!BH9),C9/Datos!BH9," - ")</f>
        <v>713</v>
      </c>
      <c r="E9" s="451">
        <f>IF(ISNUMBER(IF(J_V="SI",Datos!J9,Datos!J9+Datos!Z9)),IF(J_V="SI",Datos!J9,Datos!J9+Datos!Z9)," - ")</f>
        <v>1710</v>
      </c>
      <c r="F9" s="452">
        <f>IF(ISNUMBER(E9/B9),E9/B9," - ")</f>
        <v>342</v>
      </c>
      <c r="G9" s="451">
        <f>IF(ISNUMBER(IF(J_V="SI",Datos!K9,Datos!K9+Datos!AA9)),IF(J_V="SI",Datos!K9,Datos!K9+Datos!AA9)," - ")</f>
        <v>1242</v>
      </c>
      <c r="H9" s="452">
        <f>IF(ISNUMBER(G9/B9),G9/B9," - ")</f>
        <v>248.4</v>
      </c>
      <c r="I9" s="451">
        <f>IF(ISNUMBER(IF(J_V="SI",Datos!L9,Datos!L9+Datos!AB9)),IF(J_V="SI",Datos!L9,Datos!L9+Datos!AB9)," - ")</f>
        <v>3851</v>
      </c>
      <c r="J9" s="452">
        <f>IF(ISNUMBER(I9/B9),I9/B9," - ")</f>
        <v>770.2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123</v>
      </c>
      <c r="D10" s="452">
        <f>IF(ISNUMBER(C10/Datos!BH10),C10/Datos!BH10," - ")</f>
        <v>123</v>
      </c>
      <c r="E10" s="451">
        <f>IF(ISNUMBER(Datos!J10),Datos!J10," - ")</f>
        <v>34</v>
      </c>
      <c r="F10" s="452">
        <f>IF(ISNUMBER(E10/B10),E10/B10," - ")</f>
        <v>34</v>
      </c>
      <c r="G10" s="451">
        <f>IF(ISNUMBER(Datos!K10),Datos!K10," - ")</f>
        <v>14</v>
      </c>
      <c r="H10" s="452">
        <f>IF(ISNUMBER(G10/B10),G10/B10," - ")</f>
        <v>14</v>
      </c>
      <c r="I10" s="451">
        <f>IF(ISNUMBER(Datos!L10),Datos!L10," - ")</f>
        <v>143</v>
      </c>
      <c r="J10" s="452">
        <f>IF(ISNUMBER(I10/B10),I10/B10," - ")</f>
        <v>143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3688</v>
      </c>
      <c r="D14" s="1147" t="str">
        <f>IF(ISNUMBER(C14/Datos!BI14),C14/Datos!BI14," - ")</f>
        <v xml:space="preserve"> - </v>
      </c>
      <c r="E14" s="1146">
        <f>SUBTOTAL(9,E8:E13)</f>
        <v>1744</v>
      </c>
      <c r="F14" s="1147">
        <f>IF(ISNUMBER(E14/B14),E14/B14," - ")</f>
        <v>348.8</v>
      </c>
      <c r="G14" s="1146">
        <f>SUBTOTAL(9,G8:G13)</f>
        <v>1256</v>
      </c>
      <c r="H14" s="1147">
        <f>IF(ISNUMBER(G14/B14),G14/B14," - ")</f>
        <v>251.2</v>
      </c>
      <c r="I14" s="1146">
        <f>SUBTOTAL(9,I8:I13)</f>
        <v>3994</v>
      </c>
      <c r="J14" s="1147">
        <f>IF(ISNUMBER(I14/B14),I14/B14," - ")</f>
        <v>798.8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1366</v>
      </c>
      <c r="D16" s="452">
        <f>IF(ISNUMBER(C16/Datos!BH16),C16/Datos!BH16," - ")</f>
        <v>455.33333333333331</v>
      </c>
      <c r="E16" s="451">
        <f>IF(ISNUMBER(IF(D_I="SI",Datos!J16,Datos!J16+Datos!AD16)),IF(D_I="SI",Datos!J16,Datos!J16+Datos!AD16)," - ")</f>
        <v>1732</v>
      </c>
      <c r="F16" s="452">
        <f>IF(ISNUMBER(E16/B16),E16/B16," - ")</f>
        <v>577.33333333333337</v>
      </c>
      <c r="G16" s="451">
        <f>IF(ISNUMBER(IF(D_I="SI",Datos!K16,Datos!K16+Datos!AE16)),IF(D_I="SI",Datos!K16,Datos!K16+Datos!AE16)," - ")</f>
        <v>1813</v>
      </c>
      <c r="H16" s="452">
        <f>IF(ISNUMBER(G16/B16),G16/B16," - ")</f>
        <v>604.33333333333337</v>
      </c>
      <c r="I16" s="451">
        <f>IF(ISNUMBER(IF(D_I="SI",Datos!L16,Datos!L16+Datos!AF16)),IF(D_I="SI",Datos!L16,Datos!L16+Datos!AF16)," - ")</f>
        <v>1299</v>
      </c>
      <c r="J16" s="452">
        <f>IF(ISNUMBER(I16/B16),I16/B16," - ")</f>
        <v>433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258</v>
      </c>
      <c r="D18" s="452">
        <f>IF(ISNUMBER(C18/Datos!BH18),C18/Datos!BH18," - ")</f>
        <v>258</v>
      </c>
      <c r="E18" s="451">
        <f>IF(ISNUMBER(IF(D_I="SI",Datos!J18,Datos!J18+Datos!AD18)),IF(D_I="SI",Datos!J18,Datos!J18+Datos!AD18)," - ")</f>
        <v>257</v>
      </c>
      <c r="F18" s="452">
        <f>IF(ISNUMBER(E18/B18),E18/B18," - ")</f>
        <v>257</v>
      </c>
      <c r="G18" s="451">
        <f>IF(ISNUMBER(IF(D_I="SI",Datos!K18,Datos!K18+Datos!AE18)),IF(D_I="SI",Datos!K18,Datos!K18+Datos!AE18)," - ")</f>
        <v>296</v>
      </c>
      <c r="H18" s="452">
        <f>IF(ISNUMBER(G18/B18),G18/B18," - ")</f>
        <v>296</v>
      </c>
      <c r="I18" s="451">
        <f>IF(ISNUMBER(IF(D_I="SI",Datos!L18,Datos!L18+Datos!AF18)),IF(D_I="SI",Datos!L18,Datos!L18+Datos!AF18)," - ")</f>
        <v>224</v>
      </c>
      <c r="J18" s="452">
        <f>IF(ISNUMBER(I18/B18),I18/B18," - ")</f>
        <v>224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1624</v>
      </c>
      <c r="D23" s="1147" t="str">
        <f>IF(ISNUMBER(C23/Datos!BI23),C23/Datos!BI23," - ")</f>
        <v xml:space="preserve"> - </v>
      </c>
      <c r="E23" s="1146">
        <f>SUBTOTAL(9,E15:E22)</f>
        <v>1989</v>
      </c>
      <c r="F23" s="1147">
        <f>IF(ISNUMBER(E23/B23),E23/B23," - ")</f>
        <v>663</v>
      </c>
      <c r="G23" s="1146">
        <f>SUBTOTAL(9,G15:G22)</f>
        <v>2109</v>
      </c>
      <c r="H23" s="1147">
        <f>IF(ISNUMBER(G23/B23),G23/B23," - ")</f>
        <v>703</v>
      </c>
      <c r="I23" s="1146">
        <f>SUBTOTAL(9,I15:I22)</f>
        <v>1523</v>
      </c>
      <c r="J23" s="1147">
        <f>IF(ISNUMBER(I23/B23),I23/B23," - ")</f>
        <v>507.66666666666669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5312</v>
      </c>
      <c r="D31" s="1085" t="str">
        <f>IF(ISNUMBER(C31/Datos!BI31),C31/Datos!BI31," - ")</f>
        <v xml:space="preserve"> - </v>
      </c>
      <c r="E31" s="1084">
        <f>SUBTOTAL(9,E9:E30)</f>
        <v>3733</v>
      </c>
      <c r="F31" s="1085">
        <f>IF(ISNUMBER(E31/B31),E31/B31," - ")</f>
        <v>466.625</v>
      </c>
      <c r="G31" s="1084">
        <f>SUBTOTAL(9,G9:G30)</f>
        <v>3365</v>
      </c>
      <c r="H31" s="1085">
        <f>IF(ISNUMBER(G31/B31),G31/B31," - ")</f>
        <v>420.625</v>
      </c>
      <c r="I31" s="1084">
        <f>SUBTOTAL(9,I9:I30)</f>
        <v>5517</v>
      </c>
      <c r="J31" s="1085">
        <f>IF(ISNUMBER(I31/B31),I31/B31," - ")</f>
        <v>689.625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gxhUGLHi0M0yTW13pZzIzeCYJaOdleicN1zQe5AkFwpoBiLr8hxB2e+87UFuGiaGvHbbfVWE13yiHIoOxqZdw==" saltValue="7QZX647wMnmK9jkMGxPi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MANACOR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123</v>
      </c>
      <c r="G10" s="906">
        <f>IF(ISNUMBER(Datos!I10),Datos!I10," - ")</f>
        <v>123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30.642857142857142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123</v>
      </c>
      <c r="G14" s="1256">
        <f t="shared" si="0"/>
        <v>123</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0</v>
      </c>
      <c r="AE14" s="1257">
        <f t="shared" si="1"/>
        <v>0</v>
      </c>
      <c r="AF14" s="1257">
        <f t="shared" si="1"/>
        <v>143</v>
      </c>
      <c r="AG14" s="1257">
        <f t="shared" si="1"/>
        <v>0</v>
      </c>
      <c r="AH14" s="1257">
        <f t="shared" si="1"/>
        <v>11</v>
      </c>
      <c r="AI14" s="1257">
        <f t="shared" si="1"/>
        <v>0</v>
      </c>
      <c r="AJ14" s="1257">
        <f t="shared" si="1"/>
        <v>0</v>
      </c>
      <c r="AK14" s="1257">
        <f t="shared" si="1"/>
        <v>0</v>
      </c>
      <c r="AL14" s="1257">
        <f t="shared" si="1"/>
        <v>7</v>
      </c>
      <c r="AM14" s="1257">
        <f t="shared" si="1"/>
        <v>4</v>
      </c>
      <c r="AN14" s="1257">
        <f t="shared" si="1"/>
        <v>0</v>
      </c>
      <c r="AO14" s="1257">
        <f t="shared" si="1"/>
        <v>0</v>
      </c>
      <c r="AP14" s="1262">
        <f>IF(ISNUMBER(((Datos!L14/Datos!K14)*11)/factor_trimestre),((Datos!L14/Datos!K14)*11)/factor_trimestre," - ")</f>
        <v>9.9452054794520546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-0.11382113821138211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2.1664295874822193</v>
      </c>
      <c r="AQ23" s="1262">
        <f>IF(ISNUMBER(((Datos!M23/Datos!L23)*11)/factor_trimestre),((Datos!M23/Datos!L23)*11)/factor_trimestre," - ")</f>
        <v>0.40380827314510831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4.4843049327354258E-2</v>
      </c>
      <c r="AW23" s="1265">
        <f>IF(ISNUMBER((Datos!Q23-Datos!R23)/(Datos!S23-Datos!Q23+Datos!R23)),(Datos!Q23-Datos!R23)/(Datos!S23-Datos!Q23+Datos!R23)," - ")</f>
        <v>-9.0788893785808733E-2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123</v>
      </c>
      <c r="G31" s="1278">
        <f t="shared" si="8"/>
        <v>123</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0</v>
      </c>
      <c r="AE31" s="1284">
        <f t="shared" si="9"/>
        <v>0</v>
      </c>
      <c r="AF31" s="1285">
        <f t="shared" si="9"/>
        <v>143</v>
      </c>
      <c r="AG31" s="1285">
        <f t="shared" si="9"/>
        <v>0</v>
      </c>
      <c r="AH31" s="1285">
        <f t="shared" si="9"/>
        <v>11</v>
      </c>
      <c r="AI31" s="1285">
        <f t="shared" si="9"/>
        <v>0</v>
      </c>
      <c r="AJ31" s="1286">
        <f t="shared" si="9"/>
        <v>0</v>
      </c>
      <c r="AK31" s="1286">
        <f t="shared" si="9"/>
        <v>0</v>
      </c>
      <c r="AL31" s="1278">
        <f t="shared" si="9"/>
        <v>7</v>
      </c>
      <c r="AM31" s="1278">
        <f t="shared" si="9"/>
        <v>4</v>
      </c>
      <c r="AN31" s="1278">
        <f t="shared" si="9"/>
        <v>0</v>
      </c>
      <c r="AO31" s="1278">
        <f t="shared" si="9"/>
        <v>0</v>
      </c>
      <c r="AP31" s="1278">
        <f>IF(ISNUMBER(((Datos!L31/Datos!K31)*11)/factor_trimestre),((Datos!L31/Datos!K31)*11)/factor_trimestre," - ")</f>
        <v>4.938968568812939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-0.11382113821138211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4.2517006802721087E-2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67.369874573135434</v>
      </c>
      <c r="G33" s="1007">
        <f>IF(ISNUMBER(STDEV(G8:G30)),STDEV(G8:G30),"-")</f>
        <v>67.369874573135434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14.718520448025464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oRi+rn1mNpBARxz2wet3n9kGYZnNuLAAxnGzQhtr/70PdIVHam3Plcx47eUozP0s/M25SmDEWHeRfD8S1rtxA==" saltValue="E4Ca+9CEo9kzCPSX36nz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MANACOR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g1rfAjr/OvRE5k73Zcg3FGoK8Z68rPR2KGR2aNjov2c8xzf3SH2a1OpthN9CRYdFMiJ5ASFnUNnNVRVSYpeQw==" saltValue="GRyARmPP1HwcveDvfLvX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MANACOR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336</v>
      </c>
      <c r="E9" s="452">
        <f t="shared" ref="E9:E14" si="0">IF(ISNUMBER(D9/B9),D9/B9," - ")</f>
        <v>67.2</v>
      </c>
      <c r="F9" s="451">
        <f>IF(ISNUMBER(Datos!N9),Datos!N9," - ")</f>
        <v>483</v>
      </c>
      <c r="G9" s="452">
        <f t="shared" ref="G9:G14" si="1">IF(ISNUMBER(F9/B9),F9/B9," - ")</f>
        <v>96.6</v>
      </c>
      <c r="H9" s="451">
        <f>IF(ISNUMBER(Datos!O9),Datos!O9," - ")</f>
        <v>465</v>
      </c>
      <c r="I9" s="452">
        <f>IF(ISNUMBER(H9/B9),H9/B9," - ")</f>
        <v>93</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4</v>
      </c>
      <c r="G10" s="452">
        <f>IF(ISNUMBER(F10/B10),F10/B10," - ")</f>
        <v>4</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343</v>
      </c>
      <c r="E14" s="1147">
        <f t="shared" si="0"/>
        <v>57.166666666666664</v>
      </c>
      <c r="F14" s="1146">
        <f>SUBTOTAL(9,F9:F13)</f>
        <v>487</v>
      </c>
      <c r="G14" s="1147">
        <f t="shared" si="1"/>
        <v>81.166666666666671</v>
      </c>
      <c r="H14" s="1146">
        <f>SUBTOTAL(9,H9:H13)</f>
        <v>471</v>
      </c>
      <c r="I14" s="1147">
        <f>IF(ISNUMBER(H14/B14),H14/B14," - ")</f>
        <v>78.5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168</v>
      </c>
      <c r="E16" s="452">
        <f t="shared" ref="E16:E23" si="3">IF(ISNUMBER(D16/B16),D16/B16," - ")</f>
        <v>56</v>
      </c>
      <c r="F16" s="451">
        <f>IF(ISNUMBER(Datos!N16),Datos!N16," - ")</f>
        <v>1296</v>
      </c>
      <c r="G16" s="452">
        <f t="shared" ref="G16:G23" si="4">IF(ISNUMBER(F16/B16),F16/B16," - ")</f>
        <v>432</v>
      </c>
      <c r="H16" s="451">
        <f>IF(ISNUMBER(Datos!O16),Datos!O16," - ")</f>
        <v>23</v>
      </c>
      <c r="I16" s="452">
        <f t="shared" ref="I16:I22" si="5">IF(ISNUMBER(H16/B16),H16/B16," - ")</f>
        <v>7.666666666666667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37</v>
      </c>
      <c r="E18" s="452">
        <f>IF(ISNUMBER(D18/B18),D18/B18," - ")</f>
        <v>37</v>
      </c>
      <c r="F18" s="451">
        <f>IF(ISNUMBER(Datos!N18),Datos!N18," - ")</f>
        <v>211</v>
      </c>
      <c r="G18" s="452">
        <f>IF(ISNUMBER(F18/B18),F18/B18," - ")</f>
        <v>211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205</v>
      </c>
      <c r="E23" s="1147">
        <f t="shared" si="3"/>
        <v>51.25</v>
      </c>
      <c r="F23" s="1146">
        <f>SUBTOTAL(9,F16:F22)</f>
        <v>1507</v>
      </c>
      <c r="G23" s="1147">
        <f t="shared" si="4"/>
        <v>376.75</v>
      </c>
      <c r="H23" s="1146">
        <f>SUBTOTAL(9,H16:H22)</f>
        <v>23</v>
      </c>
      <c r="I23" s="1147">
        <f>IF(ISNUMBER(H23/B23),H23/B23," - ")</f>
        <v>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548</v>
      </c>
      <c r="E31" s="1085">
        <f>IF(ISNUMBER(D31/B31),D31/B31," - ")</f>
        <v>68.5</v>
      </c>
      <c r="F31" s="1084">
        <f>SUBTOTAL(9,F8:F30)</f>
        <v>1994</v>
      </c>
      <c r="G31" s="1085">
        <f>IF(ISNUMBER(F31/B31),F31/B31," - ")</f>
        <v>249.25</v>
      </c>
      <c r="H31" s="1084">
        <f>SUBTOTAL(9,H8:H30)</f>
        <v>494</v>
      </c>
      <c r="I31" s="1085">
        <f>IF(ISNUMBER(H31/B31),H31/B31," - ")</f>
        <v>61.75</v>
      </c>
    </row>
    <row r="34" spans="1:1">
      <c r="A34" s="439" t="str">
        <f>Criterios!A4</f>
        <v>Fecha Informe: 06 may. 2023</v>
      </c>
    </row>
    <row r="39" spans="1:1">
      <c r="A39" s="462"/>
    </row>
  </sheetData>
  <sheetProtection algorithmName="SHA-512" hashValue="k3Thy4pdacrrU2TNB0ZlK3vYgLWyU8zTn3WtuyGUsM1Ch3flazNuikMvsfKGBSyt++hxzhq23xSWu03rZWo27w==" saltValue="eot2jeycj+EKMQqlvcAj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MANACOR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399</v>
      </c>
      <c r="C9" s="489">
        <f>IF(ISNUMBER(Datos!Q9),Datos!Q9," - ")</f>
        <v>110</v>
      </c>
      <c r="D9" s="456">
        <f>IF(ISNUMBER(Datos!R9),Datos!R9," - ")</f>
        <v>7046</v>
      </c>
    </row>
    <row r="10" spans="1:4">
      <c r="A10" s="450" t="str">
        <f>Datos!A10</f>
        <v>Jdos. Violencia contra la mujer</v>
      </c>
      <c r="B10" s="488">
        <f>IF(ISNUMBER(Datos!P10),Datos!P10," - ")</f>
        <v>4</v>
      </c>
      <c r="C10" s="489">
        <f>IF(ISNUMBER(Datos!Q10),Datos!Q10," - ")</f>
        <v>3</v>
      </c>
      <c r="D10" s="456">
        <f>IF(ISNUMBER(Datos!R10),Datos!R10," - ")</f>
        <v>66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403</v>
      </c>
      <c r="C14" s="1150">
        <f>SUBTOTAL(9,C9:C13)</f>
        <v>113</v>
      </c>
      <c r="D14" s="1148">
        <f>SUBTOTAL(9,D9:D13)</f>
        <v>7123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29</v>
      </c>
      <c r="C16" s="489">
        <f>IF(ISNUMBER(Datos!Q16),Datos!Q16," - ")</f>
        <v>25</v>
      </c>
      <c r="D16" s="456">
        <f>IF(ISNUMBER(Datos!R16),Datos!R16," - ")</f>
        <v>200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2</v>
      </c>
      <c r="D18" s="456">
        <f>IF(ISNUMBER(Datos!R18),Datos!R18," - ")</f>
        <v>33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27</v>
      </c>
      <c r="D23" s="1148">
        <f>SUBTOTAL(9,D16:D22)</f>
        <v>233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440</v>
      </c>
      <c r="C31" s="1089">
        <f>SUBTOTAL(9,C8:C30)</f>
        <v>140</v>
      </c>
      <c r="D31" s="1090">
        <f>SUBTOTAL(9,D8:D30)</f>
        <v>7356</v>
      </c>
    </row>
    <row r="32" spans="1:4" ht="7.5" customHeight="1"/>
    <row r="33" spans="1:1" ht="6" customHeight="1"/>
    <row r="34" spans="1:1">
      <c r="A34" s="439" t="str">
        <f>Criterios!A4</f>
        <v>Fecha Informe: 06 may. 2023</v>
      </c>
    </row>
    <row r="39" spans="1:1">
      <c r="A39" s="462"/>
    </row>
  </sheetData>
  <sheetProtection algorithmName="SHA-512" hashValue="Qj0tDfH783689TdLUES5rLXAMStImvx3rzwbeJK2rnuO75rQoXpHJp/zih9iQktfPNfWBaz4DYo2zZ/BmCawuQ==" saltValue="U24FPpg8JDbgVx+ftUAj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MANACOR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0.2588276836158192</v>
      </c>
      <c r="C9" s="515">
        <f>IF(ISNUMBER(
   IF(J_V="SI",(Datos!J9-Datos!T9)/Datos!T9,(Datos!J9+Datos!Z9-(Datos!T9+Datos!AH9))/(Datos!T9+Datos!AH9))
     ),IF(J_V="SI",(Datos!J9-Datos!T9)/Datos!T9,(Datos!J9+Datos!Z9-(Datos!T9+Datos!AH9))/(Datos!T9+Datos!AH9))," - ")</f>
        <v>0.19413407821229051</v>
      </c>
      <c r="D9" s="515">
        <f>IF(ISNUMBER(
   IF(J_V="SI",(Datos!K9-Datos!U9)/Datos!U9,(Datos!K9+Datos!AA9-(Datos!U9+Datos!AI9))/(Datos!U9+Datos!AI9))
     ),IF(J_V="SI",(Datos!K9-Datos!U9)/Datos!U9,(Datos!K9+Datos!AA9-(Datos!U9+Datos!AI9))/(Datos!U9+Datos!AI9))," - ")</f>
        <v>-6.4054257724189906E-2</v>
      </c>
      <c r="E9" s="515">
        <f>IF(ISNUMBER(
   IF(J_V="SI",(Datos!L9-Datos!V9)/Datos!V9,(Datos!L9+Datos!AB9-(Datos!V9+Datos!AJ9))/(Datos!V9+Datos!AJ9))
     ),IF(J_V="SI",(Datos!L9-Datos!V9)/Datos!V9,(Datos!L9+Datos!AB9-(Datos!V9+Datos!AJ9))/(Datos!V9+Datos!AJ9))," - ")</f>
        <v>0.31120190670752468</v>
      </c>
      <c r="F9" s="515">
        <f>IF(ISNUMBER((Datos!M9-Datos!W9)/Datos!W9),(Datos!M9-Datos!W9)/Datos!W9," - ")</f>
        <v>9.0090090090090089E-3</v>
      </c>
      <c r="G9" s="516">
        <f>IF(ISNUMBER((Datos!N9-Datos!X9)/Datos!X9),(Datos!N9-Datos!X9)/Datos!X9," - ")</f>
        <v>-8.2135523613963042E-3</v>
      </c>
      <c r="H9" s="514">
        <f>IF(ISNUMBER(((NºAsuntos!G9/NºAsuntos!E9)-Datos!BD9)/Datos!BD9),((NºAsuntos!G9/NºAsuntos!E9)-Datos!BD9)/Datos!BD9," - ")</f>
        <v>-0.21621385793043268</v>
      </c>
      <c r="I9" s="515">
        <f>IF(ISNUMBER(((NºAsuntos!I9/NºAsuntos!G9)-Datos!BE9)/Datos!BE9),((NºAsuntos!I9/NºAsuntos!G9)-Datos!BE9)/Datos!BE9," - ")</f>
        <v>0.4009379470216467</v>
      </c>
      <c r="J9" s="521">
        <f>IF(ISNUMBER((('Resol  Asuntos'!D9/NºAsuntos!G9)-Datos!BF9)/Datos!BF9),(('Resol  Asuntos'!D9/NºAsuntos!G9)-Datos!BF9)/Datos!BF9," - ")</f>
        <v>-0.26284359531391049</v>
      </c>
      <c r="K9" s="522">
        <f>IF(ISNUMBER((((NºAsuntos!C9+NºAsuntos!E9)/NºAsuntos!G9)-Datos!BG9)/Datos!BG9),(((NºAsuntos!C9+NºAsuntos!E9)/NºAsuntos!G9)-Datos!BG9)/Datos!BG9," - ")</f>
        <v>0.32176605698609928</v>
      </c>
    </row>
    <row r="10" spans="1:11">
      <c r="A10" s="450" t="str">
        <f>Datos!A10</f>
        <v>Jdos. Violencia contra la mujer</v>
      </c>
      <c r="B10" s="514">
        <f>IF(ISNUMBER((Datos!I10-Datos!S10)/Datos!S10),(Datos!I10-Datos!S10)/Datos!S10," - ")</f>
        <v>6.9565217391304349E-2</v>
      </c>
      <c r="C10" s="515">
        <f>IF(ISNUMBER((Datos!J10-Datos!T10)/Datos!T10),(Datos!J10-Datos!T10)/Datos!T10," - ")</f>
        <v>0.13333333333333333</v>
      </c>
      <c r="D10" s="515">
        <f>IF(ISNUMBER((Datos!K10-Datos!U10)/Datos!U10),(Datos!K10-Datos!U10)/Datos!U10," - ")</f>
        <v>-0.26315789473684209</v>
      </c>
      <c r="E10" s="515">
        <f>IF(ISNUMBER((Datos!L10-Datos!V10)/Datos!V10),(Datos!L10-Datos!V10)/Datos!V10," - ")</f>
        <v>0.13492063492063491</v>
      </c>
      <c r="F10" s="515">
        <f>IF(ISNUMBER((Datos!M10-Datos!W10)/Datos!W10),(Datos!M10-Datos!W10)/Datos!W10," - ")</f>
        <v>1.3333333333333333</v>
      </c>
      <c r="G10" s="516">
        <f>IF(ISNUMBER((Datos!N10-Datos!X10)/Datos!X10),(Datos!N10-Datos!X10)/Datos!X10," - ")</f>
        <v>-0.7142857142857143</v>
      </c>
      <c r="H10" s="514">
        <f>IF(ISNUMBER(((NºAsuntos!G10/NºAsuntos!E10)-Datos!BD10)/Datos!BD10),((NºAsuntos!G10/NºAsuntos!E10)-Datos!BD10)/Datos!BD10," - ")</f>
        <v>-0.34984520123839008</v>
      </c>
      <c r="I10" s="515">
        <f>IF(ISNUMBER(((NºAsuntos!I10/NºAsuntos!G10)-Datos!BE10)/Datos!BE10),((NºAsuntos!I10/NºAsuntos!G10)-Datos!BE10)/Datos!BE10," - ")</f>
        <v>0.5402494331065758</v>
      </c>
      <c r="J10" s="521">
        <f>IF(ISNUMBER((('Resol  Asuntos'!D10/NºAsuntos!G10)-Datos!BF10)/Datos!BF10),(('Resol  Asuntos'!D10/NºAsuntos!G10)-Datos!BF10)/Datos!BF10," - ")</f>
        <v>2.166666666666667</v>
      </c>
      <c r="K10" s="522">
        <f>IF(ISNUMBER((((NºAsuntos!C10+NºAsuntos!E10)/NºAsuntos!G10)-Datos!BG10)/Datos!BG10),(((NºAsuntos!C10+NºAsuntos!E10)/NºAsuntos!G10)-Datos!BG10)/Datos!BG10," - ")</f>
        <v>0.46945812807881759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0.24721001014541766</v>
      </c>
      <c r="C14" s="1152">
        <f>IF(ISNUMBER(
   IF(J_V="SI",(Datos!J14-Datos!T14)/Datos!T14,(Datos!J14+Datos!Z14-(Datos!T14+Datos!AH14))/(Datos!T14+Datos!AH14))
     ),IF(J_V="SI",(Datos!J14-Datos!T14)/Datos!T14,(Datos!J14+Datos!Z14-(Datos!T14+Datos!AH14))/(Datos!T14+Datos!AH14))," - ")</f>
        <v>0.19288645690834474</v>
      </c>
      <c r="D14" s="1152">
        <f>IF(ISNUMBER(
   IF(J_V="SI",(Datos!K14-Datos!U14)/Datos!U14,(Datos!K14+Datos!AA14-(Datos!U14+Datos!AI14))/(Datos!U14+Datos!AI14))
     ),IF(J_V="SI",(Datos!K14-Datos!U14)/Datos!U14,(Datos!K14+Datos!AA14-(Datos!U14+Datos!AI14))/(Datos!U14+Datos!AI14))," - ")</f>
        <v>-6.6864784546805348E-2</v>
      </c>
      <c r="E14" s="1152">
        <f>IF(ISNUMBER(
   IF(J_V="SI",(Datos!L14-Datos!V14)/Datos!V14,(Datos!L14+Datos!AB14-(Datos!V14+Datos!AJ14))/(Datos!V14+Datos!AJ14))
     ),IF(J_V="SI",(Datos!L14-Datos!V14)/Datos!V14,(Datos!L14+Datos!AB14-(Datos!V14+Datos!AJ14))/(Datos!V14+Datos!AJ14))," - ")</f>
        <v>0.3039503754489063</v>
      </c>
      <c r="F14" s="1153">
        <f>IF(ISNUMBER((Datos!M14-Datos!W14)/Datos!W14),(Datos!M14-Datos!W14)/Datos!W14," - ")</f>
        <v>2.0833333333333332E-2</v>
      </c>
      <c r="G14" s="1154">
        <f>IF(ISNUMBER((Datos!N14-Datos!X14)/Datos!X14),(Datos!N14-Datos!X14)/Datos!X14," - ")</f>
        <v>-2.7944111776447105E-2</v>
      </c>
      <c r="H14" s="1154">
        <f>IF(ISNUMBER(((NºAsuntos!G14/NºAsuntos!E14)-Datos!BD14)/Datos!BD14),((NºAsuntos!G14/NºAsuntos!E14)-Datos!BD14)/Datos!BD14," - ")</f>
        <v>-0.21775018062352605</v>
      </c>
      <c r="I14" s="1154">
        <f>IF(ISNUMBER(((NºAsuntos!I14/NºAsuntos!G14)-Datos!BE14)/Datos!BE14),((NºAsuntos!I14/NºAsuntos!G14)-Datos!BE14)/Datos!BE14," - ")</f>
        <v>0.39738630999540431</v>
      </c>
      <c r="J14" s="1154">
        <f>IF(ISNUMBER((('Resol  Asuntos'!D14/NºAsuntos!G14)-Datos!BF14)/Datos!BF14),(('Resol  Asuntos'!D14/NºAsuntos!G14)-Datos!BF14)/Datos!BF14," - ")</f>
        <v>-0.24984076433121011</v>
      </c>
      <c r="K14" s="1154">
        <f>IF(ISNUMBER((((NºAsuntos!C14+NºAsuntos!E14)/NºAsuntos!G14)-Datos!BG14)/Datos!BG14),(((NºAsuntos!C14+NºAsuntos!E14)/NºAsuntos!G14)-Datos!BG14)/Datos!BG14," - ")</f>
        <v>0.3173196806494249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-0.22998872604284104</v>
      </c>
      <c r="C16" s="515">
        <f>IF(ISNUMBER(
   IF(D_I="SI",(Datos!J16-Datos!T16)/Datos!T16,(Datos!J16+Datos!AD16-(Datos!T16+Datos!AL16))/(Datos!T16+Datos!AL16))
     ),IF(D_I="SI",(Datos!J16-Datos!T16)/Datos!T16,(Datos!J16+Datos!AD16-(Datos!T16+Datos!AL16))/(Datos!T16+Datos!AL16))," - ")</f>
        <v>9.324009324009324E-3</v>
      </c>
      <c r="D16" s="515">
        <f>IF(ISNUMBER(
   IF(D_I="SI",(Datos!K16-Datos!U16)/Datos!U16,(Datos!K16+Datos!AE16-(Datos!U16+Datos!AM16))/(Datos!U16+Datos!AM16))
     ),IF(D_I="SI",(Datos!K16-Datos!U16)/Datos!U16,(Datos!K16+Datos!AE16-(Datos!U16+Datos!AM16))/(Datos!U16+Datos!AM16))," - ")</f>
        <v>5.9614260666277029E-2</v>
      </c>
      <c r="E16" s="515">
        <f>IF(ISNUMBER(
   IF(D_I="SI",(Datos!L16-Datos!V16)/Datos!V16,(Datos!L16+Datos!AF16-(Datos!V16+Datos!AN16))/(Datos!V16+Datos!AN16))
     ),IF(D_I="SI",(Datos!L16-Datos!V16)/Datos!V16,(Datos!L16+Datos!AF16-(Datos!V16+Datos!AN16))/(Datos!V16+Datos!AN16))," - ")</f>
        <v>-0.28429752066115704</v>
      </c>
      <c r="F16" s="515">
        <f>IF(ISNUMBER((Datos!M16-Datos!W16)/Datos!W16),(Datos!M16-Datos!W16)/Datos!W16," - ")</f>
        <v>0.12751677852348994</v>
      </c>
      <c r="G16" s="516">
        <f>IF(ISNUMBER((Datos!N16-Datos!X16)/Datos!X16),(Datos!N16-Datos!X16)/Datos!X16," - ")</f>
        <v>0.1086398631308811</v>
      </c>
      <c r="H16" s="514">
        <f>IF(ISNUMBER(((NºAsuntos!G16/NºAsuntos!E16)-Datos!BD16)/Datos!BD16),((NºAsuntos!G16/NºAsuntos!E16)-Datos!BD16)/Datos!BD16," - ")</f>
        <v>4.9825676272131303E-2</v>
      </c>
      <c r="I16" s="515">
        <f>IF(ISNUMBER(((NºAsuntos!I16/NºAsuntos!G16)-Datos!BE16)/Datos!BE16),((NºAsuntos!I16/NºAsuntos!G16)-Datos!BE16)/Datos!BE16," - ")</f>
        <v>-0.32456318690084918</v>
      </c>
      <c r="J16" s="521">
        <f>IF(ISNUMBER((('Resol  Asuntos'!D16/NºAsuntos!G16)-Datos!BF16)/Datos!BF16),(('Resol  Asuntos'!D16/NºAsuntos!G16)-Datos!BF16)/Datos!BF16," - ")</f>
        <v>6.4082298981627844E-2</v>
      </c>
      <c r="K16" s="522">
        <f>IF(ISNUMBER((((NºAsuntos!C16+NºAsuntos!E16)/NºAsuntos!G16)-Datos!BG16)/Datos!BG16),(((NºAsuntos!C16+NºAsuntos!E16)/NºAsuntos!G16)-Datos!BG16)/Datos!BG16," - ")</f>
        <v>-0.16226204568406782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-0.10726643598615918</v>
      </c>
      <c r="C18" s="515">
        <f>IF(ISNUMBER(
   IF(D_I="SI",(Datos!J18-Datos!T18)/Datos!T18,(Datos!J18+Datos!AD18-(Datos!T18+Datos!AL18))/(Datos!T18+Datos!AL18))
     ),IF(D_I="SI",(Datos!J18-Datos!T18)/Datos!T18,(Datos!J18+Datos!AD18-(Datos!T18+Datos!AL18))/(Datos!T18+Datos!AL18))," - ")</f>
        <v>-5.8608058608058608E-2</v>
      </c>
      <c r="D18" s="515">
        <f>IF(ISNUMBER(
   IF(D_I="SI",(Datos!K18-Datos!U18)/Datos!U18,(Datos!K18+Datos!AE18-(Datos!U18+Datos!AM18))/(Datos!U18+Datos!AM18))
     ),IF(D_I="SI",(Datos!K18-Datos!U18)/Datos!U18,(Datos!K18+Datos!AE18-(Datos!U18+Datos!AM18))/(Datos!U18+Datos!AM18))," - ")</f>
        <v>0.2384937238493724</v>
      </c>
      <c r="E18" s="515">
        <f>IF(ISNUMBER(
   IF(D_I="SI",(Datos!L18-Datos!V18)/Datos!V18,(Datos!L18+Datos!AF18-(Datos!V18+Datos!AN18))/(Datos!V18+Datos!AN18))
     ),IF(D_I="SI",(Datos!L18-Datos!V18)/Datos!V18,(Datos!L18+Datos!AF18-(Datos!V18+Datos!AN18))/(Datos!V18+Datos!AN18))," - ")</f>
        <v>-0.30650154798761609</v>
      </c>
      <c r="F18" s="515">
        <f>IF(ISNUMBER((Datos!M18-Datos!W18)/Datos!W18),(Datos!M18-Datos!W18)/Datos!W18," - ")</f>
        <v>-0.26</v>
      </c>
      <c r="G18" s="516">
        <f>IF(ISNUMBER((Datos!N18-Datos!X18)/Datos!X18),(Datos!N18-Datos!X18)/Datos!X18," - ")</f>
        <v>7.6530612244897961E-2</v>
      </c>
      <c r="H18" s="514">
        <f>IF(ISNUMBER(((NºAsuntos!G18/NºAsuntos!E18)-Datos!BD18)/Datos!BD18),((NºAsuntos!G18/NºAsuntos!E18)-Datos!BD18)/Datos!BD18," - ")</f>
        <v>0.31559839148201801</v>
      </c>
      <c r="I18" s="515">
        <f>IF(ISNUMBER(((NºAsuntos!I18/NºAsuntos!G18)-Datos!BE18)/Datos!BE18),((NºAsuntos!I18/NºAsuntos!G18)-Datos!BE18)/Datos!BE18," - ")</f>
        <v>-0.44004685800351434</v>
      </c>
      <c r="J18" s="521">
        <f>IF(ISNUMBER((('Resol  Asuntos'!D18/NºAsuntos!G18)-Datos!BF18)/Datos!BF18),(('Resol  Asuntos'!D18/NºAsuntos!G18)-Datos!BF18)/Datos!BF18," - ")</f>
        <v>-0.40249999999999997</v>
      </c>
      <c r="K18" s="522">
        <f>IF(ISNUMBER((((NºAsuntos!C18+NºAsuntos!E18)/NºAsuntos!G18)-Datos!BG18)/Datos!BG18),(((NºAsuntos!C18+NºAsuntos!E18)/NºAsuntos!G18)-Datos!BG18)/Datos!BG18," - ")</f>
        <v>-0.26009305568914104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-0.21279689772176441</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8.1538461538461532E-2</v>
      </c>
      <c r="E23" s="1152">
        <f>IF(ISNUMBER(
   IF(Criterios!B14="SI",(Datos!L23-Datos!V23)/Datos!V23,(Datos!L23+Datos!AF23-(Datos!V23+Datos!AN23))/(Datos!V23+Datos!AN23))
     ),IF(Criterios!B14="SI",(Datos!L23-Datos!V23)/Datos!V23,(Datos!L23+Datos!AF23-(Datos!V23+Datos!AN23))/(Datos!V23+Datos!AN23))," - ")</f>
        <v>-0.28765201122544432</v>
      </c>
      <c r="F23" s="1153">
        <f>IF(ISNUMBER((Datos!M23-Datos!W23)/Datos!W23),(Datos!M23-Datos!W23)/Datos!W23," - ")</f>
        <v>3.015075376884422E-2</v>
      </c>
      <c r="G23" s="1154">
        <f>IF(ISNUMBER((Datos!N23-Datos!X23)/Datos!X23),(Datos!N23-Datos!X23)/Datos!X23," - ")</f>
        <v>0.10402930402930403</v>
      </c>
      <c r="H23" s="1154">
        <f>IF(ISNUMBER(((NºAsuntos!G23/NºAsuntos!E23)-Datos!BD23)/Datos!BD23),((NºAsuntos!G23/NºAsuntos!E23)-Datos!BD23)/Datos!BD23," - ")</f>
        <v>8.1538461538461587E-2</v>
      </c>
      <c r="I23" s="1154">
        <f>IF(ISNUMBER(((NºAsuntos!I23/NºAsuntos!G23)-Datos!BE23)/Datos!BE23),((NºAsuntos!I23/NºAsuntos!G23)-Datos!BE23)/Datos!BE23," - ")</f>
        <v>-0.34135676713590163</v>
      </c>
      <c r="J23" s="1154">
        <f>IF(ISNUMBER((('Resol  Asuntos'!D23/NºAsuntos!G23)-Datos!BF23)/Datos!BF23),(('Resol  Asuntos'!D23/NºAsuntos!G23)-Datos!BF23)/Datos!BF23," - ")</f>
        <v>-4.7513527809745798E-2</v>
      </c>
      <c r="K23" s="1154">
        <f>IF(ISNUMBER((((NºAsuntos!C23+NºAsuntos!E23)/NºAsuntos!G23)-Datos!BG23)/Datos!BG23),(((NºAsuntos!C23+NºAsuntos!E23)/NºAsuntos!G23)-Datos!BG23)/Datos!BG23," - ")</f>
        <v>-0.17556474227643759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5.8167330677290838E-2</v>
      </c>
      <c r="C31" s="1092">
        <f>IF(ISNUMBER(
   IF(J_V="SI",(Datos!J31-Datos!T31)/Datos!T31,(Datos!J31+Datos!Z31-(Datos!T31+Datos!AH31))/(Datos!T31+Datos!AH31))
     ),IF(J_V="SI",(Datos!J31-Datos!T31)/Datos!T31,(Datos!J31+Datos!Z31-(Datos!T31+Datos!AH31))/(Datos!T31+Datos!AH31))," - ")</f>
        <v>8.1715444798609094E-2</v>
      </c>
      <c r="D31" s="1092">
        <f>IF(ISNUMBER(
   IF(J_V="SI",(Datos!K31-Datos!U31)/Datos!U31,(Datos!K31+Datos!AA31-(Datos!U31+Datos!AI31))/(Datos!U31+Datos!AI31))
     ),IF(J_V="SI",(Datos!K31-Datos!U31)/Datos!U31,(Datos!K31+Datos!AA31-(Datos!U31+Datos!AI31))/(Datos!U31+Datos!AI31))," - ")</f>
        <v>2.0934466019417477E-2</v>
      </c>
      <c r="E31" s="1092">
        <f>IF(ISNUMBER(
   IF(J_V="SI",(Datos!L31-Datos!V31)/Datos!V31,(Datos!L31+Datos!AB31-(Datos!V31+Datos!AJ31))/(Datos!V31+Datos!AJ31))
     ),IF(J_V="SI",(Datos!L31-Datos!V31)/Datos!V31,(Datos!L31+Datos!AB31-(Datos!V31+Datos!AJ31))/(Datos!V31+Datos!AJ31))," - ")</f>
        <v>6.075754662564891E-2</v>
      </c>
      <c r="F31" s="1093">
        <f>IF(ISNUMBER((Datos!M31-Datos!W31)/Datos!W31),(Datos!M31-Datos!W31)/Datos!W31," - ")</f>
        <v>2.4299065420560748E-2</v>
      </c>
      <c r="G31" s="1094">
        <f>IF(ISNUMBER((Datos!N31-Datos!X31)/Datos!X31),(Datos!N31-Datos!X31)/Datos!X31," - ")</f>
        <v>6.8595927116827438E-2</v>
      </c>
      <c r="H31" s="1095">
        <f>IF(ISNUMBER((Tasas!B31-Datos!BD31)/Datos!BD31),(Tasas!B31-Datos!BD31)/Datos!BD31," - ")</f>
        <v>-5.6189434172780627E-2</v>
      </c>
      <c r="I31" s="1096">
        <f>IF(ISNUMBER((Tasas!C31-Datos!BE31)/Datos!BE31),(Tasas!C31-Datos!BE31)/Datos!BE31," - ")</f>
        <v>3.9006500350115471E-2</v>
      </c>
      <c r="J31" s="1097">
        <f>IF(ISNUMBER((Tasas!D31-Datos!BF31)/Datos!BF31),(Tasas!D31-Datos!BF31)/Datos!BF31," - ")</f>
        <v>-0.22095333806343365</v>
      </c>
      <c r="K31" s="1097">
        <f>IF(ISNUMBER((Tasas!E31-Datos!BG31)/Datos!BG31),(Tasas!E31-Datos!BG31)/Datos!BG31," - ")</f>
        <v>4.5865949784449543E-2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czBrzb1iz/iAjV9DpDgh86OKNND6plfaHFbjL0K/jVa5YmwnpKnCWvoimw6uqpBmFuLlYVlxeEn0gRE0EXBog==" saltValue="gwx72eSaf61U4XyflgYo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MANACOR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0.72631578947368425</v>
      </c>
      <c r="C9" s="498">
        <f>IF(ISNUMBER(NºAsuntos!I9/NºAsuntos!G9),NºAsuntos!I9/NºAsuntos!G9," - ")</f>
        <v>3.1006441223832528</v>
      </c>
      <c r="D9" s="499">
        <f>IF(ISNUMBER('Resol  Asuntos'!D9/NºAsuntos!G9),'Resol  Asuntos'!D9/NºAsuntos!G9," - ")</f>
        <v>0.27053140096618356</v>
      </c>
      <c r="E9" s="500">
        <f>IF(ISNUMBER((NºAsuntos!C9+NºAsuntos!E9)/NºAsuntos!G9),(NºAsuntos!C9+NºAsuntos!E9)/NºAsuntos!G9," - ")</f>
        <v>4.2471819645732687</v>
      </c>
      <c r="G9" s="523"/>
    </row>
    <row r="10" spans="1:7">
      <c r="A10" s="450" t="str">
        <f>Datos!A10</f>
        <v>Jdos. Violencia contra la mujer</v>
      </c>
      <c r="B10" s="497">
        <f>IF(ISNUMBER(NºAsuntos!G10/NºAsuntos!E10),NºAsuntos!G10/NºAsuntos!E10," - ")</f>
        <v>0.41176470588235292</v>
      </c>
      <c r="C10" s="498">
        <f>IF(ISNUMBER(NºAsuntos!I10/NºAsuntos!G10),NºAsuntos!I10/NºAsuntos!G10," - ")</f>
        <v>10.214285714285714</v>
      </c>
      <c r="D10" s="499">
        <f>IF(ISNUMBER('Resol  Asuntos'!D10/NºAsuntos!G10),'Resol  Asuntos'!D10/NºAsuntos!G10," - ")</f>
        <v>0.5</v>
      </c>
      <c r="E10" s="500">
        <f>IF(ISNUMBER((NºAsuntos!C10+NºAsuntos!E10)/NºAsuntos!G10),(NºAsuntos!C10+NºAsuntos!E10)/NºAsuntos!G10," - ")</f>
        <v>11.214285714285714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0.72018348623853212</v>
      </c>
      <c r="C14" s="1156">
        <f>IF(ISNUMBER(NºAsuntos!I14/NºAsuntos!G14),NºAsuntos!I14/NºAsuntos!G14," - ")</f>
        <v>3.1799363057324839</v>
      </c>
      <c r="D14" s="1157">
        <f>IF(ISNUMBER('Resol  Asuntos'!D14/NºAsuntos!G14),'Resol  Asuntos'!D14/NºAsuntos!G14," - ")</f>
        <v>0.27308917197452232</v>
      </c>
      <c r="E14" s="1158">
        <f>IF(ISNUMBER((NºAsuntos!C14+NºAsuntos!E14)/NºAsuntos!G14),(NºAsuntos!C14+NºAsuntos!E14)/NºAsuntos!G14," - ")</f>
        <v>4.3248407643312099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1.0467667436489607</v>
      </c>
      <c r="C16" s="498">
        <f>IF(ISNUMBER(NºAsuntos!I16/NºAsuntos!G16),NºAsuntos!I16/NºAsuntos!G16," - ")</f>
        <v>0.71649200220628795</v>
      </c>
      <c r="D16" s="499">
        <f>IF(ISNUMBER('Resol  Asuntos'!D16/NºAsuntos!G16),'Resol  Asuntos'!D16/NºAsuntos!G16," - ")</f>
        <v>9.2664092664092659E-2</v>
      </c>
      <c r="E16" s="500">
        <f>IF(ISNUMBER((NºAsuntos!C16+NºAsuntos!E16)/NºAsuntos!G16),(NºAsuntos!C16+NºAsuntos!E16)/NºAsuntos!G16," - ")</f>
        <v>1.7087699944842802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1.1517509727626458</v>
      </c>
      <c r="C18" s="498">
        <f>IF(ISNUMBER(NºAsuntos!I18/NºAsuntos!G18),NºAsuntos!I18/NºAsuntos!G18," - ")</f>
        <v>0.7567567567567568</v>
      </c>
      <c r="D18" s="499">
        <f>IF(ISNUMBER('Resol  Asuntos'!D18/NºAsuntos!G18),'Resol  Asuntos'!D18/NºAsuntos!G18," - ")</f>
        <v>0.125</v>
      </c>
      <c r="E18" s="500">
        <f>IF(ISNUMBER((NºAsuntos!C18+NºAsuntos!E18)/NºAsuntos!G18),(NºAsuntos!C18+NºAsuntos!E18)/NºAsuntos!G18," - ")</f>
        <v>1.7398648648648649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1.0603318250377074</v>
      </c>
      <c r="C23" s="1156">
        <f>IF(ISNUMBER(NºAsuntos!I23/NºAsuntos!G23),NºAsuntos!I23/NºAsuntos!G23," - ")</f>
        <v>0.72214319582740638</v>
      </c>
      <c r="D23" s="1159">
        <f>IF(ISNUMBER('Resol  Asuntos'!D23/NºAsuntos!G23),'Resol  Asuntos'!D23/NºAsuntos!G23," - ")</f>
        <v>9.7202465623518253E-2</v>
      </c>
      <c r="E23" s="1158">
        <f>IF(ISNUMBER((NºAsuntos!C23+NºAsuntos!E23)/NºAsuntos!G23),(NºAsuntos!C23+NºAsuntos!E23)/NºAsuntos!G23," - ")</f>
        <v>1.7131341868183974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0.90141976962228776</v>
      </c>
      <c r="C31" s="1099">
        <f>IF(ISNUMBER(NºAsuntos!I31/NºAsuntos!G31),NºAsuntos!I31/NºAsuntos!G31," - ")</f>
        <v>1.6395245170876671</v>
      </c>
      <c r="D31" s="1100">
        <f>IF(ISNUMBER('Resol  Asuntos'!D31/NºAsuntos!G31),'Resol  Asuntos'!D31/NºAsuntos!G31," - ")</f>
        <v>0.16285289747399703</v>
      </c>
      <c r="E31" s="1101">
        <f>IF(ISNUMBER((NºAsuntos!C31+NºAsuntos!E31)/NºAsuntos!G31),(NºAsuntos!C31+NºAsuntos!E31)/NºAsuntos!G31," - ")</f>
        <v>2.6879643387815753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v9EXszo2WeuhUSg1qrIsT0ByR1jT9sO99Dg+ZJLzGJ8c3t8mhQKDJt00H+EV7YSa+/egyPuYjigTTmvkyTpWw==" saltValue="JcPYk7Sti0Af3gDY6je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MANACOR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399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110</v>
      </c>
      <c r="Y9" s="374">
        <f>SUM(W9:X9)</f>
        <v>110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336</v>
      </c>
      <c r="AJ9" s="243" t="str">
        <f>IF(ISNUMBER(Datos!BW9),Datos!BW9," - ")</f>
        <v xml:space="preserve"> - </v>
      </c>
      <c r="AK9" s="242" t="str">
        <f>IF(ISNUMBER(Datos!BX9),Datos!BX9," - ")</f>
        <v xml:space="preserve"> - </v>
      </c>
      <c r="AL9" s="266">
        <f>IF(ISNUMBER(NºAsuntos!G9/NºAsuntos!E9),NºAsuntos!G9/NºAsuntos!E9," - ")</f>
        <v>0.72631578947368425</v>
      </c>
      <c r="AM9" s="284">
        <f>IF(ISNUMBER(((NºAsuntos!I9/NºAsuntos!G9)*11)/factor_trimestre),((NºAsuntos!I9/NºAsuntos!G9)*11)/factor_trimestre," - ")</f>
        <v>9.3019323671497585</v>
      </c>
      <c r="AN9" s="267">
        <f>IF(ISNUMBER('Resol  Asuntos'!D9/NºAsuntos!G9),'Resol  Asuntos'!D9/NºAsuntos!G9," - ")</f>
        <v>0.27053140096618356</v>
      </c>
      <c r="AO9" s="268">
        <f>IF(ISNUMBER((NºAsuntos!C9+NºAsuntos!E9)/NºAsuntos!G9),(NºAsuntos!C9+NºAsuntos!E9)/NºAsuntos!G9," - ")</f>
        <v>4.2471819645732687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123</v>
      </c>
      <c r="G10" s="373">
        <f>IF(ISNUMBER(Datos!I10),Datos!I10," - ")</f>
        <v>123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3</v>
      </c>
      <c r="Y10" s="374">
        <f t="shared" ref="Y10:Y13" si="0">SUM(W10:X10)</f>
        <v>17</v>
      </c>
      <c r="Z10" s="375" t="str">
        <f>IF(ISNUMBER(Datos!CC10),Datos!CC10," - ")</f>
        <v xml:space="preserve"> - </v>
      </c>
      <c r="AA10" s="372">
        <f>IF(ISNUMBER(Datos!L10),Datos!L10,"-")</f>
        <v>143</v>
      </c>
      <c r="AB10" s="374">
        <f>IF(ISNUMBER(Datos!R10),Datos!R10," - ")</f>
        <v>66</v>
      </c>
      <c r="AC10" s="374">
        <f t="shared" ref="AC10:AC13" si="1">IF(ISNUMBER(AA10+AB10),AA10+AB10," - ")</f>
        <v>209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0.41176470588235292</v>
      </c>
      <c r="AM10" s="284">
        <f>IF(ISNUMBER(((NºAsuntos!I10/NºAsuntos!G10)*11)/factor_trimestre),((NºAsuntos!I10/NºAsuntos!G10)*11)/factor_trimestre," - ")</f>
        <v>30.642857142857142</v>
      </c>
      <c r="AN10" s="267">
        <f>IF(ISNUMBER('Resol  Asuntos'!D10/NºAsuntos!G10),'Resol  Asuntos'!D10/NºAsuntos!G10," - ")</f>
        <v>0.5</v>
      </c>
      <c r="AO10" s="268">
        <f>IF(ISNUMBER((NºAsuntos!C10+NºAsuntos!E10)/NºAsuntos!G10),(NºAsuntos!C10+NºAsuntos!E10)/NºAsuntos!G10," - ")</f>
        <v>11.214285714285714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123</v>
      </c>
      <c r="G14" s="1163">
        <f t="shared" si="5"/>
        <v>123</v>
      </c>
      <c r="H14" s="1162">
        <f t="shared" si="5"/>
        <v>0</v>
      </c>
      <c r="I14" s="1164">
        <f t="shared" si="5"/>
        <v>0</v>
      </c>
      <c r="J14" s="1164">
        <f t="shared" si="5"/>
        <v>0</v>
      </c>
      <c r="K14" s="1164">
        <f t="shared" si="5"/>
        <v>0</v>
      </c>
      <c r="L14" s="1164">
        <f t="shared" si="5"/>
        <v>403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113</v>
      </c>
      <c r="Y14" s="1165">
        <f t="shared" si="6"/>
        <v>127</v>
      </c>
      <c r="Z14" s="1165">
        <f t="shared" si="6"/>
        <v>0</v>
      </c>
      <c r="AA14" s="1165">
        <f t="shared" si="6"/>
        <v>143</v>
      </c>
      <c r="AB14" s="1165">
        <f t="shared" si="6"/>
        <v>7123</v>
      </c>
      <c r="AC14" s="1165">
        <f t="shared" si="6"/>
        <v>209</v>
      </c>
      <c r="AD14" s="1165">
        <f t="shared" si="6"/>
        <v>0</v>
      </c>
      <c r="AE14" s="1169">
        <f t="shared" si="6"/>
        <v>0</v>
      </c>
      <c r="AF14" s="1162">
        <f t="shared" si="6"/>
        <v>0</v>
      </c>
      <c r="AG14" s="1170">
        <f t="shared" si="6"/>
        <v>0</v>
      </c>
      <c r="AH14" s="1167">
        <f t="shared" si="6"/>
        <v>0</v>
      </c>
      <c r="AI14" s="1162">
        <f t="shared" si="6"/>
        <v>343</v>
      </c>
      <c r="AJ14" s="1164">
        <f t="shared" si="6"/>
        <v>0</v>
      </c>
      <c r="AK14" s="1167">
        <f>SUBTOTAL(9,AK9:AK13)</f>
        <v>0</v>
      </c>
      <c r="AL14" s="1171">
        <f>IF(ISNUMBER(NºAsuntos!G14/NºAsuntos!E14),NºAsuntos!G14/NºAsuntos!E14," - ")</f>
        <v>0.72018348623853212</v>
      </c>
      <c r="AM14" s="1171">
        <f>IF(ISNUMBER(((NºAsuntos!I14/NºAsuntos!G14)*11)/factor_trimestre),((NºAsuntos!I14/NºAsuntos!G14)*11)/factor_trimestre," - ")</f>
        <v>9.5398089171974512</v>
      </c>
      <c r="AN14" s="1172">
        <f>IF(ISNUMBER('Resol  Asuntos'!D14/NºAsuntos!G14),'Resol  Asuntos'!D14/NºAsuntos!G14," - ")</f>
        <v>0.27308917197452232</v>
      </c>
      <c r="AO14" s="1173">
        <f>IF(ISNUMBER((NºAsuntos!C14+NºAsuntos!E14)/NºAsuntos!G14),(NºAsuntos!C14+NºAsuntos!E14)/NºAsuntos!G14," - ")</f>
        <v>4.3248407643312099</v>
      </c>
      <c r="AP14" s="1174" t="str">
        <f t="shared" si="2"/>
        <v xml:space="preserve"> - </v>
      </c>
      <c r="AQ14" s="1174">
        <f>IF(ISNUMBER((H14-W14+K14)/(F14)),(H14-W14+K14)/(F14)," - ")</f>
        <v>-0.11382113821138211</v>
      </c>
      <c r="AR14" s="1175">
        <f>IF(ISNUMBER((Datos!P14-Datos!Q14)/(Datos!R14-Datos!P14+Datos!Q14)),(Datos!P14-Datos!Q14)/(Datos!R14-Datos!P14+Datos!Q14)," - ")</f>
        <v>4.2441094687545734E-2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1380</v>
      </c>
      <c r="G16" s="373">
        <f>IF(ISNUMBER(IF(D_I="SI",Datos!I16,Datos!I16+Datos!AC16)),IF(D_I="SI",Datos!I16,Datos!I16+Datos!AC16)," - ")</f>
        <v>1366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1813</v>
      </c>
      <c r="X16" s="240">
        <f>IF(ISNUMBER(Datos!Q16),Datos!Q16," - ")</f>
        <v>25</v>
      </c>
      <c r="Y16" s="374">
        <f>SUM(W16)</f>
        <v>1813</v>
      </c>
      <c r="Z16" s="375" t="str">
        <f>IF(ISNUMBER(Datos!CC16),Datos!CC16," - ")</f>
        <v xml:space="preserve"> - </v>
      </c>
      <c r="AA16" s="372">
        <f>IF(ISNUMBER(IF(D_I="SI",Datos!L16,Datos!L16+Datos!AF16)),IF(D_I="SI",Datos!L16,Datos!L16+Datos!AF16)," - ")</f>
        <v>1299</v>
      </c>
      <c r="AB16" s="374">
        <f>IF(ISNUMBER(Datos!R16),Datos!R16," - ")</f>
        <v>200</v>
      </c>
      <c r="AC16" s="374">
        <f t="shared" ref="AC16:AC22" si="8">IF(ISNUMBER(AA16+AB16),AA16+AB16," - ")</f>
        <v>1499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168</v>
      </c>
      <c r="AJ16" s="245" t="str">
        <f>IF(ISNUMBER(Datos!BW16),Datos!BW16," - ")</f>
        <v xml:space="preserve"> - </v>
      </c>
      <c r="AK16" s="246" t="str">
        <f>IF(ISNUMBER(Datos!BX16),Datos!BX16," - ")</f>
        <v xml:space="preserve"> - </v>
      </c>
      <c r="AL16" s="266">
        <f>IF(ISNUMBER(NºAsuntos!G16/NºAsuntos!E16),NºAsuntos!G16/NºAsuntos!E16," - ")</f>
        <v>1.0467667436489607</v>
      </c>
      <c r="AM16" s="284">
        <f>IF(ISNUMBER(((NºAsuntos!I16/NºAsuntos!G16)*11)/factor_trimestre),((NºAsuntos!I16/NºAsuntos!G16)*11)/factor_trimestre," - ")</f>
        <v>2.1494760066188641</v>
      </c>
      <c r="AN16" s="267">
        <f>IF(ISNUMBER('Resol  Asuntos'!D16/NºAsuntos!G16),'Resol  Asuntos'!D16/NºAsuntos!G16," - ")</f>
        <v>9.2664092664092659E-2</v>
      </c>
      <c r="AO16" s="268">
        <f>IF(ISNUMBER((NºAsuntos!C16+NºAsuntos!E16)/NºAsuntos!G16),(NºAsuntos!C16+NºAsuntos!E16)/NºAsuntos!G16," - ")</f>
        <v>1.7087699944842802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296</v>
      </c>
      <c r="X18" s="240">
        <f>IF(ISNUMBER(Datos!Q18),Datos!Q18," - ")</f>
        <v>2</v>
      </c>
      <c r="Y18" s="374">
        <f t="shared" si="9"/>
        <v>298</v>
      </c>
      <c r="Z18" s="375" t="str">
        <f>IF(ISNUMBER(Datos!CC18),Datos!CC18," - ")</f>
        <v xml:space="preserve"> - </v>
      </c>
      <c r="AA18" s="372">
        <f>IF(ISNUMBER(Datos!L18),Datos!L18,"-")</f>
        <v>224</v>
      </c>
      <c r="AB18" s="374">
        <f>IF(ISNUMBER(Datos!R18),Datos!R18," - ")</f>
        <v>33</v>
      </c>
      <c r="AC18" s="374">
        <f t="shared" si="8"/>
        <v>257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1.1517509727626458</v>
      </c>
      <c r="AM18" s="284">
        <f>IF(ISNUMBER(((NºAsuntos!I18/NºAsuntos!G18)*11)/factor_trimestre),((NºAsuntos!I18/NºAsuntos!G18)*11)/factor_trimestre," - ")</f>
        <v>2.2702702702702706</v>
      </c>
      <c r="AN18" s="267">
        <f>IF(ISNUMBER('Resol  Asuntos'!D18/NºAsuntos!G18),'Resol  Asuntos'!D18/NºAsuntos!G18," - ")</f>
        <v>0.125</v>
      </c>
      <c r="AO18" s="268">
        <f>IF(ISNUMBER((NºAsuntos!C18+NºAsuntos!E18)/NºAsuntos!G18),(NºAsuntos!C18+NºAsuntos!E18)/NºAsuntos!G18," - ")</f>
        <v>1.7398648648648649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1380</v>
      </c>
      <c r="G23" s="1163">
        <f>SUBTOTAL(9,G16:G22)</f>
        <v>1624</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2109</v>
      </c>
      <c r="X23" s="1164">
        <f t="shared" si="14"/>
        <v>27</v>
      </c>
      <c r="Y23" s="1165">
        <f t="shared" si="14"/>
        <v>2111</v>
      </c>
      <c r="Z23" s="1165">
        <f t="shared" si="14"/>
        <v>0</v>
      </c>
      <c r="AA23" s="1165">
        <f t="shared" si="14"/>
        <v>1523</v>
      </c>
      <c r="AB23" s="1165">
        <f t="shared" si="14"/>
        <v>233</v>
      </c>
      <c r="AC23" s="1165">
        <f t="shared" si="14"/>
        <v>1756</v>
      </c>
      <c r="AD23" s="1165">
        <f t="shared" si="14"/>
        <v>0</v>
      </c>
      <c r="AE23" s="1169">
        <f t="shared" si="14"/>
        <v>0</v>
      </c>
      <c r="AF23" s="1162">
        <f t="shared" si="14"/>
        <v>0</v>
      </c>
      <c r="AG23" s="1170">
        <f t="shared" si="14"/>
        <v>0</v>
      </c>
      <c r="AH23" s="1167">
        <f t="shared" si="14"/>
        <v>0</v>
      </c>
      <c r="AI23" s="1162">
        <f t="shared" si="14"/>
        <v>205</v>
      </c>
      <c r="AJ23" s="1164">
        <f t="shared" si="14"/>
        <v>0</v>
      </c>
      <c r="AK23" s="1167">
        <f t="shared" si="14"/>
        <v>0</v>
      </c>
      <c r="AL23" s="1171">
        <f>IF(ISNUMBER(NºAsuntos!G23/NºAsuntos!E23),NºAsuntos!G23/NºAsuntos!E23," - ")</f>
        <v>1.0603318250377074</v>
      </c>
      <c r="AM23" s="1171">
        <f>IF(ISNUMBER(((NºAsuntos!I23/NºAsuntos!G23)*11)/factor_trimestre),((NºAsuntos!I23/NºAsuntos!G23)*11)/factor_trimestre," - ")</f>
        <v>2.1664295874822193</v>
      </c>
      <c r="AN23" s="1172">
        <f>IF(ISNUMBER('Resol  Asuntos'!D23/NºAsuntos!G23),'Resol  Asuntos'!D23/NºAsuntos!G23," - ")</f>
        <v>9.7202465623518253E-2</v>
      </c>
      <c r="AO23" s="1173">
        <f>IF(ISNUMBER((NºAsuntos!C23+NºAsuntos!E23)/NºAsuntos!G23),(NºAsuntos!C23+NºAsuntos!E23)/NºAsuntos!G23," - ")</f>
        <v>1.7131341868183974</v>
      </c>
      <c r="AP23" s="1174" t="str">
        <f t="shared" si="2"/>
        <v xml:space="preserve"> - </v>
      </c>
      <c r="AQ23" s="1174">
        <f>IF(ISNUMBER((H23-W23+K23)/(F23)),(H23-W23+K23)/(F23)," - ")</f>
        <v>-1.5282608695652173</v>
      </c>
      <c r="AR23" s="1175">
        <f>IF(ISNUMBER((Datos!P23-Datos!Q23)/(Datos!R23-Datos!P23+Datos!Q23)),(Datos!P23-Datos!Q23)/(Datos!R23-Datos!P23+Datos!Q23)," - ")</f>
        <v>4.4843049327354258E-2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1503</v>
      </c>
      <c r="G31" s="1118">
        <f t="shared" si="20"/>
        <v>1747</v>
      </c>
      <c r="H31" s="1117">
        <f t="shared" si="20"/>
        <v>0</v>
      </c>
      <c r="I31" s="1119">
        <f t="shared" si="20"/>
        <v>0</v>
      </c>
      <c r="J31" s="1119">
        <f t="shared" si="20"/>
        <v>0</v>
      </c>
      <c r="K31" s="1180">
        <f t="shared" si="20"/>
        <v>0</v>
      </c>
      <c r="L31" s="1119">
        <f t="shared" si="20"/>
        <v>440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2123</v>
      </c>
      <c r="X31" s="1118">
        <f t="shared" si="21"/>
        <v>140</v>
      </c>
      <c r="Y31" s="1125">
        <f t="shared" si="21"/>
        <v>2238</v>
      </c>
      <c r="Z31" s="1125">
        <f t="shared" si="21"/>
        <v>0</v>
      </c>
      <c r="AA31" s="1125">
        <f t="shared" si="21"/>
        <v>1666</v>
      </c>
      <c r="AB31" s="1125">
        <f t="shared" si="21"/>
        <v>7356</v>
      </c>
      <c r="AC31" s="1125">
        <f t="shared" si="21"/>
        <v>1965</v>
      </c>
      <c r="AD31" s="1125">
        <f t="shared" si="21"/>
        <v>0</v>
      </c>
      <c r="AE31" s="1127">
        <f t="shared" si="21"/>
        <v>0</v>
      </c>
      <c r="AF31" s="1128">
        <f t="shared" si="21"/>
        <v>0</v>
      </c>
      <c r="AG31" s="1129">
        <f t="shared" si="21"/>
        <v>0</v>
      </c>
      <c r="AH31" s="1127">
        <f t="shared" si="21"/>
        <v>0</v>
      </c>
      <c r="AI31" s="1117">
        <f t="shared" si="21"/>
        <v>548</v>
      </c>
      <c r="AJ31" s="1117">
        <f t="shared" si="21"/>
        <v>0</v>
      </c>
      <c r="AK31" s="1127">
        <f t="shared" si="21"/>
        <v>0</v>
      </c>
      <c r="AL31" s="1183">
        <f>IF(ISNUMBER(NºAsuntos!G31/NºAsuntos!E31),NºAsuntos!G31/NºAsuntos!E31," - ")</f>
        <v>0.90141976962228776</v>
      </c>
      <c r="AM31" s="1184">
        <f>IF(ISNUMBER(((NºAsuntos!I31/NºAsuntos!G31)*11)/factor_trimestre),((NºAsuntos!I31/NºAsuntos!G31)*11)/factor_trimestre," - ")</f>
        <v>4.9185735512630018</v>
      </c>
      <c r="AN31" s="1184">
        <f>IF(ISNUMBER('Resol  Asuntos'!D31/NºAsuntos!G31),'Resol  Asuntos'!D31/NºAsuntos!G31," - ")</f>
        <v>0.16285289747399703</v>
      </c>
      <c r="AO31" s="1185">
        <f>IF(ISNUMBER((NºAsuntos!C31+NºAsuntos!E31)/NºAsuntos!G31),(NºAsuntos!C31+NºAsuntos!E31)/NºAsuntos!G31," - ")</f>
        <v>2.6879643387815753</v>
      </c>
      <c r="AP31" s="1186" t="str">
        <f t="shared" si="2"/>
        <v xml:space="preserve"> - </v>
      </c>
      <c r="AQ31" s="1187">
        <f>IF(OR(ISNUMBER(FIND("01",Criterios!A8,1)),ISNUMBER(FIND("02",Criterios!A8,1)),ISNUMBER(FIND("03",Criterios!A8,1)),ISNUMBER(FIND("04",Criterios!A8,1))),(I31-W31+K31)/(F31-K31),(H31-W31+K31)/(F31-K31))</f>
        <v>-1.4125083166999335</v>
      </c>
      <c r="AR31" s="1188">
        <f>IF(ISNUMBER((Datos!P31-Datos!Q31)/(Datos!R31-Datos!P31+Datos!Q31)),(Datos!P31-Datos!Q31)/(Datos!R31-Datos!P31+Datos!Q31)," - ")</f>
        <v>4.2517006802721087E-2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683.08886683944718</v>
      </c>
      <c r="G33" s="277">
        <f>IF(ISNUMBER(STDEV(G8:G30)),STDEV(G8:G30),"-")</f>
        <v>689.9455119962804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935.17874532855262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145.23410220896622</v>
      </c>
      <c r="AJ33" s="276">
        <f t="shared" si="25"/>
        <v>0</v>
      </c>
      <c r="AK33" s="278">
        <f t="shared" si="25"/>
        <v>0</v>
      </c>
      <c r="AL33" s="273">
        <f t="shared" si="25"/>
        <v>0.28219204442023571</v>
      </c>
      <c r="AM33" s="274">
        <f t="shared" si="25"/>
        <v>11.018146518978313</v>
      </c>
      <c r="AN33" s="274">
        <f t="shared" si="25"/>
        <v>0.15738085897943033</v>
      </c>
      <c r="AO33" s="275">
        <f t="shared" si="25"/>
        <v>3.6783265581032172</v>
      </c>
      <c r="AP33" s="317" t="str">
        <f t="shared" si="25"/>
        <v>-</v>
      </c>
      <c r="AQ33" s="318">
        <f t="shared" si="25"/>
        <v>1.0001599256199756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8tgSK7MBLeOsUV6HSMsiKVJEuYtGIuJ+J2iirB5s13KFrdA2MTxAgjD7NdWkhDsxVJ+ZGnPZeRpSDNG/miYuQ==" saltValue="TQRjj5uEgVCeZnhqgc+L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MANACOR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9.0090090090090089E-3</v>
      </c>
      <c r="I9" s="395">
        <f>IF(ISNUMBER((Tasas!C9-Datos!BE9)/Datos!BE9),(Tasas!C9-Datos!BE9)/Datos!BE9," - ")</f>
        <v>0.4009379470216467</v>
      </c>
      <c r="J9" s="394">
        <f>IF(ISNUMBER((Tasas!D9-Datos!BF9)/Datos!BF9),(Tasas!D9-Datos!BF9)/Datos!BF9," - ")</f>
        <v>-0.26284359531391049</v>
      </c>
      <c r="K9" s="396">
        <f>IF(ISNUMBER((Tasas!E9-Datos!BG9)/Datos!BG9),(Tasas!E9-Datos!BG9)/Datos!BG9," - ")</f>
        <v>0.32176605698609928</v>
      </c>
      <c r="M9" t="e">
        <f>IF(Monitorios="SI",Datos!CE9,0)</f>
        <v>#REF!</v>
      </c>
      <c r="N9" t="e">
        <f>IF(Monitorios="SI",Datos!CF9,0)</f>
        <v>#REF!</v>
      </c>
      <c r="O9" t="e">
        <f>IF(Monitorios="SI",Datos!CG9,0)</f>
        <v>#REF!</v>
      </c>
      <c r="P9" t="e">
        <f>IF(Monitorios="SI",Datos!CH9,0)</f>
        <v>#REF!</v>
      </c>
      <c r="Q9">
        <f>IF(J_V="SI",0,Datos!AG9)</f>
        <v>123</v>
      </c>
      <c r="R9">
        <f>IF(J_V="SI",0,Datos!AH9)</f>
        <v>96</v>
      </c>
      <c r="S9">
        <f>IF(J_V="SI",0,Datos!AI9)</f>
        <v>111</v>
      </c>
      <c r="T9">
        <f>IF(J_V="SI",0,Datos!AJ9)</f>
        <v>108</v>
      </c>
    </row>
    <row r="10" spans="2:20" ht="14.25">
      <c r="B10" s="300" t="s">
        <v>321</v>
      </c>
      <c r="C10" s="7" t="str">
        <f>Datos!A10</f>
        <v>Jdos. Violencia contra la mujer</v>
      </c>
      <c r="D10" s="397">
        <f>IF(ISNUMBER((Datos!I10-Datos!S10)/Datos!S10),(Datos!I10-Datos!S10)/Datos!S10," - ")</f>
        <v>6.9565217391304349E-2</v>
      </c>
      <c r="E10" s="393">
        <f>IF(ISNUMBER((Datos!J10-Datos!T10)/Datos!T10),(Datos!J10-Datos!T10)/Datos!T10," - ")</f>
        <v>0.13333333333333333</v>
      </c>
      <c r="F10" s="393">
        <f>IF(ISNUMBER((Datos!K10-Datos!U10)/Datos!U10),(Datos!K10-Datos!U10)/Datos!U10," - ")</f>
        <v>-0.26315789473684209</v>
      </c>
      <c r="G10" s="394">
        <f>IF(ISNUMBER((Datos!L10-Datos!V10)/Datos!V10),(Datos!L10-Datos!V10)/Datos!V10," - ")</f>
        <v>0.13492063492063491</v>
      </c>
      <c r="H10" s="244">
        <f>IF(ISNUMBER((Datos!M10-Datos!W10)/Datos!W10),(Datos!M10-Datos!W10)/Datos!W10," - ")</f>
        <v>1.3333333333333333</v>
      </c>
      <c r="I10" s="395">
        <f>IF(ISNUMBER((Tasas!C10-Datos!BE10)/Datos!BE10),(Tasas!C10-Datos!BE10)/Datos!BE10," - ")</f>
        <v>0.5402494331065758</v>
      </c>
      <c r="J10" s="394">
        <f>IF(ISNUMBER((Tasas!D10-Datos!BF10)/Datos!BF10),(Tasas!D10-Datos!BF10)/Datos!BF10," - ")</f>
        <v>2.166666666666667</v>
      </c>
      <c r="K10" s="396">
        <f>IF(ISNUMBER((Tasas!E10-Datos!BG10)/Datos!BG10),(Tasas!E10-Datos!BG10)/Datos!BG10," - ")</f>
        <v>0.46945812807881759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2.0833333333333332E-2</v>
      </c>
      <c r="I14" s="402">
        <f>IF(ISNUMBER((Tasas!C14-Datos!BE14)/Datos!BE14),(Tasas!C14-Datos!BE14)/Datos!BE14," - ")</f>
        <v>0.39738630999540431</v>
      </c>
      <c r="J14" s="400">
        <f>IF(ISNUMBER((Tasas!D14-Datos!BF14)/Datos!BF14),(Tasas!D14-Datos!BF14)/Datos!BF14," - ")</f>
        <v>-0.24984076433121011</v>
      </c>
      <c r="K14" s="403">
        <f>IF(ISNUMBER((Tasas!E14-Datos!BG14)/Datos!BG14),(Tasas!E14-Datos!BG14)/Datos!BG14," - ")</f>
        <v>0.3173196806494249</v>
      </c>
      <c r="M14" t="e">
        <f>IF(Monitorios="SI",Datos!CE14,0)</f>
        <v>#REF!</v>
      </c>
      <c r="N14" t="e">
        <f>IF(Monitorios="SI",Datos!CF14,0)</f>
        <v>#REF!</v>
      </c>
      <c r="O14" t="e">
        <f>IF(Monitorios="SI",Datos!CG14,0)</f>
        <v>#REF!</v>
      </c>
      <c r="P14" t="e">
        <f>IF(Monitorios="SI",Datos!CH14,0)</f>
        <v>#REF!</v>
      </c>
      <c r="Q14">
        <f>IF(J_V="SI",0,Datos!AG14)</f>
        <v>123</v>
      </c>
      <c r="R14">
        <f>IF(J_V="SI",0,Datos!AH14)</f>
        <v>96</v>
      </c>
      <c r="S14">
        <f>IF(J_V="SI",0,Datos!AI14)</f>
        <v>111</v>
      </c>
      <c r="T14">
        <f>IF(J_V="SI",0,Datos!AJ14)</f>
        <v>108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-0.22998872604284104</v>
      </c>
      <c r="E16" s="393">
        <f>IF(ISNUMBER(
   IF(D_I="SI",(Datos!J16-Datos!T16)/Datos!T16,(Datos!J16+Datos!AD16-(Datos!T16+Datos!AL16))/(Datos!T16+Datos!AL16))
     ),IF(D_I="SI",(Datos!J16-Datos!T16)/Datos!T16,(Datos!J16+Datos!AD16-(Datos!T16+Datos!AL16))/(Datos!T16+Datos!AL16))," - ")</f>
        <v>9.324009324009324E-3</v>
      </c>
      <c r="F16" s="393">
        <f>IF(ISNUMBER(
   IF(D_I="SI",(Datos!K16-Datos!U16)/Datos!U16,(Datos!K16+Datos!AE16-(Datos!U16+Datos!AM16))/(Datos!U16+Datos!AM16))
     ),IF(D_I="SI",(Datos!K16-Datos!U16)/Datos!U16,(Datos!K16+Datos!AE16-(Datos!U16+Datos!AM16))/(Datos!U16+Datos!AM16))," - ")</f>
        <v>5.9614260666277029E-2</v>
      </c>
      <c r="G16" s="394">
        <f>IF(ISNUMBER(
   IF(D_I="SI",(Datos!L16-Datos!V16)/Datos!V16,(Datos!L16+Datos!AF16-(Datos!V16+Datos!AN16))/(Datos!V16+Datos!AN16))
     ),IF(D_I="SI",(Datos!L16-Datos!V16)/Datos!V16,(Datos!L16+Datos!AF16-(Datos!V16+Datos!AN16))/(Datos!V16+Datos!AN16))," - ")</f>
        <v>-0.28429752066115704</v>
      </c>
      <c r="H16" s="244">
        <f>IF(ISNUMBER((Datos!M16-Datos!W16)/Datos!W16),(Datos!M16-Datos!W16)/Datos!W16," - ")</f>
        <v>0.12751677852348994</v>
      </c>
      <c r="I16" s="395">
        <f>IF(ISNUMBER((Tasas!C16-Datos!BE16)/Datos!BE16),(Tasas!C16-Datos!BE16)/Datos!BE16," - ")</f>
        <v>-0.32456318690084918</v>
      </c>
      <c r="J16" s="394">
        <f>IF(ISNUMBER((Tasas!D16-Datos!BF16)/Datos!BF16),(Tasas!D16-Datos!BF16)/Datos!BF16," - ")</f>
        <v>6.4082298981627844E-2</v>
      </c>
      <c r="K16" s="396">
        <f>IF(ISNUMBER((Tasas!E16-Datos!BG16)/Datos!BG16),(Tasas!E16-Datos!BG16)/Datos!BG16," - ")</f>
        <v>-0.16226204568406782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-0.10726643598615918</v>
      </c>
      <c r="E18" s="393">
        <f>IF(ISNUMBER(
   IF(D_I="SI",(Datos!J18-Datos!T18)/Datos!T18,(Datos!J18+Datos!AD18-(Datos!T18+Datos!AL18))/(Datos!T18+Datos!AL18))
     ),IF(D_I="SI",(Datos!J18-Datos!T18)/Datos!T18,(Datos!J18+Datos!AD18-(Datos!T18+Datos!AL18))/(Datos!T18+Datos!AL18))," - ")</f>
        <v>-5.8608058608058608E-2</v>
      </c>
      <c r="F18" s="393">
        <f>IF(ISNUMBER(
   IF(D_I="SI",(Datos!K18-Datos!U18)/Datos!U18,(Datos!K18+Datos!AE18-(Datos!U18+Datos!AM18))/(Datos!U18+Datos!AM18))
     ),IF(D_I="SI",(Datos!K18-Datos!U18)/Datos!U18,(Datos!K18+Datos!AE18-(Datos!U18+Datos!AM18))/(Datos!U18+Datos!AM18))," - ")</f>
        <v>0.2384937238493724</v>
      </c>
      <c r="G18" s="394">
        <f>IF(ISNUMBER(
   IF(D_I="SI",(Datos!L18-Datos!V18)/Datos!V18,(Datos!L18+Datos!AF18-(Datos!V18+Datos!AN18))/(Datos!V18+Datos!AN18))
     ),IF(D_I="SI",(Datos!L18-Datos!V18)/Datos!V18,(Datos!L18+Datos!AF18-(Datos!V18+Datos!AN18))/(Datos!V18+Datos!AN18))," - ")</f>
        <v>-0.30650154798761609</v>
      </c>
      <c r="H18" s="244">
        <f>IF(ISNUMBER((Datos!M18-Datos!W18)/Datos!W18),(Datos!M18-Datos!W18)/Datos!W18," - ")</f>
        <v>-0.26</v>
      </c>
      <c r="I18" s="395">
        <f>IF(ISNUMBER((Tasas!C18-Datos!BE18)/Datos!BE18),(Tasas!C18-Datos!BE18)/Datos!BE18," - ")</f>
        <v>-0.44004685800351434</v>
      </c>
      <c r="J18" s="394">
        <f>IF(ISNUMBER((Tasas!D18-Datos!BF18)/Datos!BF18),(Tasas!D18-Datos!BF18)/Datos!BF18," - ")</f>
        <v>-0.40249999999999997</v>
      </c>
      <c r="K18" s="396">
        <f>IF(ISNUMBER((Tasas!E18-Datos!BG18)/Datos!BG18),(Tasas!E18-Datos!BG18)/Datos!BG18," - ")</f>
        <v>-0.26009305568914104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-0.21279689772176441</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8.1538461538461532E-2</v>
      </c>
      <c r="G23" s="400">
        <f>IF(ISNUMBER(
   IF(D_I="SI",(Datos!L23-Datos!V23)/Datos!V23,(Datos!L23+Datos!AF23-(Datos!V23+Datos!AN23))/(Datos!V23+Datos!AN23))
     ),IF(D_I="SI",(Datos!L23-Datos!V23)/Datos!V23,(Datos!L23+Datos!AF23-(Datos!V23+Datos!AN23))/(Datos!V23+Datos!AN23))," - ")</f>
        <v>-0.28765201122544432</v>
      </c>
      <c r="H23" s="401">
        <f>IF(ISNUMBER((Datos!M23-Datos!W23)/Datos!W23),(Datos!M23-Datos!W23)/Datos!W23," - ")</f>
        <v>3.015075376884422E-2</v>
      </c>
      <c r="I23" s="402">
        <f>IF(ISNUMBER((Tasas!C23-Datos!BE23)/Datos!BE23),(Tasas!C23-Datos!BE23)/Datos!BE23," - ")</f>
        <v>-0.34135676713590163</v>
      </c>
      <c r="J23" s="400">
        <f>IF(ISNUMBER((Tasas!D23-Datos!BF23)/Datos!BF23),(Tasas!D23-Datos!BF23)/Datos!BF23," - ")</f>
        <v>-4.7513527809745798E-2</v>
      </c>
      <c r="K23" s="403">
        <f>IF(ISNUMBER((Tasas!E23-Datos!BG23)/Datos!BG23),(Tasas!E23-Datos!BG23)/Datos!BG23," - ")</f>
        <v>-0.17556474227643759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5.8167330677290838E-2</v>
      </c>
      <c r="E31" s="409">
        <f>IF(ISNUMBER(
   IF(J_V="SI",(Datos!J31-Datos!T31)/Datos!T31,(Datos!J31+Datos!Z31-(Datos!T31+Datos!AH31))/(Datos!T31+Datos!AH31))
     ),IF(J_V="SI",(Datos!J31-Datos!T31)/Datos!T31,(Datos!J31+Datos!Z31-(Datos!T31+Datos!AH31))/(Datos!T31+Datos!AH31))," - ")</f>
        <v>8.1715444798609094E-2</v>
      </c>
      <c r="F31" s="409">
        <f>IF(ISNUMBER(
   IF(J_V="SI",(Datos!K31-Datos!U31)/Datos!U31,(Datos!K31+Datos!AA31-(Datos!U31+Datos!AI31))/(Datos!U31+Datos!AI31))
     ),IF(J_V="SI",(Datos!K31-Datos!U31)/Datos!U31,(Datos!K31+Datos!AA31-(Datos!U31+Datos!AI31))/(Datos!U31+Datos!AI31))," - ")</f>
        <v>2.0934466019417477E-2</v>
      </c>
      <c r="G31" s="410">
        <f>IF(ISNUMBER(
   IF(J_V="SI",(Datos!L31-Datos!V31)/Datos!V31,(Datos!L31+Datos!AB31-(Datos!V31+Datos!AJ31))/(Datos!V31+Datos!AJ31))
     ),IF(J_V="SI",(Datos!L31-Datos!V31)/Datos!V31,(Datos!L31+Datos!AB31-(Datos!V31+Datos!AJ31))/(Datos!V31+Datos!AJ31))," - ")</f>
        <v>6.075754662564891E-2</v>
      </c>
      <c r="H31" s="411">
        <f>IF(ISNUMBER((Datos!M31-Datos!W31)/Datos!W31),(Datos!M31-Datos!W31)/Datos!W31," - ")</f>
        <v>2.4299065420560748E-2</v>
      </c>
      <c r="I31" s="408">
        <f>IF(ISNUMBER((Tasas!C31-Datos!BE31)/Datos!BE31),(Tasas!C31-Datos!BE31)/Datos!BE31," - ")</f>
        <v>3.9006500350115471E-2</v>
      </c>
      <c r="J31" s="409">
        <f>IF(ISNUMBER((Tasas!D31-Datos!BF31)/Datos!BF31),(Tasas!D31-Datos!BF31)/Datos!BF31," - ")</f>
        <v>-0.22095333806343365</v>
      </c>
      <c r="K31" s="410">
        <f>IF(ISNUMBER((Tasas!E31-Datos!BG31)/Datos!BG31),(Tasas!E31-Datos!BG31)/Datos!BG31," - ")</f>
        <v>4.5865949784449543E-2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0.13760552329823955</v>
      </c>
      <c r="E33" s="303">
        <f t="shared" si="1"/>
        <v>8.069190154358391E-2</v>
      </c>
      <c r="F33" s="303">
        <f t="shared" si="1"/>
        <v>0.21050836801713652</v>
      </c>
      <c r="G33" s="304">
        <f t="shared" si="1"/>
        <v>0.21409200188945113</v>
      </c>
      <c r="H33" s="310">
        <f t="shared" si="1"/>
        <v>0.5653509173443001</v>
      </c>
      <c r="I33" s="302">
        <f t="shared" si="1"/>
        <v>0.45100462275898373</v>
      </c>
      <c r="J33" s="303">
        <f t="shared" si="1"/>
        <v>0.97224787762998366</v>
      </c>
      <c r="K33" s="304">
        <f t="shared" si="1"/>
        <v>0.31810699720106739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Othk8a1PP5pnUlutSkj0LLhGLIXa8KtDQxWi6BTBrY9D5hr1xmwKtddP0OjPzgyigwGCYUPcmuzjVUYX1M5Fg==" saltValue="7cDFqXfYSwN5JwyWirb1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